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90" yWindow="60" windowWidth="18975" windowHeight="11895" tabRatio="751" firstSheet="1" activeTab="1"/>
  </bookViews>
  <sheets>
    <sheet name="Proiecte FEN + FN " sheetId="12" r:id="rId1"/>
    <sheet name="Multianual 2026" sheetId="29" r:id="rId2"/>
  </sheets>
  <definedNames>
    <definedName name="_xlnm._FilterDatabase" localSheetId="1" hidden="1">'Multianual 2026'!$A$5:$P$134</definedName>
    <definedName name="_xlnm._FilterDatabase" localSheetId="0" hidden="1">'Proiecte FEN + FN '!$A$2:$BA$512</definedName>
    <definedName name="_xlnm.Print_Titles" localSheetId="1">'Multianual 2026'!$4:$5</definedName>
    <definedName name="_xlnm.Print_Titles" localSheetId="0">'Proiecte FEN + FN '!$2:$2</definedName>
  </definedNames>
  <calcPr calcId="124519"/>
</workbook>
</file>

<file path=xl/calcChain.xml><?xml version="1.0" encoding="utf-8"?>
<calcChain xmlns="http://schemas.openxmlformats.org/spreadsheetml/2006/main">
  <c r="F134" i="29"/>
  <c r="E134"/>
  <c r="E17"/>
  <c r="H17"/>
  <c r="H7"/>
  <c r="H8"/>
  <c r="H9"/>
  <c r="H10"/>
  <c r="H11"/>
  <c r="H12"/>
  <c r="H13"/>
  <c r="H14"/>
  <c r="H15"/>
  <c r="H16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6"/>
  <c r="G134"/>
  <c r="J134"/>
  <c r="K134"/>
  <c r="L134"/>
  <c r="M134"/>
  <c r="I31"/>
  <c r="I32"/>
  <c r="I33"/>
  <c r="I34"/>
  <c r="I35"/>
  <c r="I30"/>
  <c r="H134" l="1"/>
  <c r="AR447" i="12"/>
  <c r="AG447"/>
  <c r="AG480"/>
  <c r="AG486"/>
  <c r="AY508"/>
  <c r="AY511"/>
  <c r="AY507"/>
  <c r="AV508"/>
  <c r="AU508"/>
  <c r="AT508"/>
  <c r="AS508"/>
  <c r="AR508"/>
  <c r="AH508"/>
  <c r="AI508"/>
  <c r="AI509" s="1"/>
  <c r="AJ508"/>
  <c r="AK508"/>
  <c r="AK509" s="1"/>
  <c r="AL508"/>
  <c r="AM508"/>
  <c r="AM509" s="1"/>
  <c r="AN508"/>
  <c r="AW507"/>
  <c r="AO507"/>
  <c r="AQ507" s="1"/>
  <c r="AP507"/>
  <c r="AP508"/>
  <c r="AP509" s="1"/>
  <c r="AP511"/>
  <c r="AP512" s="1"/>
  <c r="AO511"/>
  <c r="AP510"/>
  <c r="AO510"/>
  <c r="AQ510" s="1"/>
  <c r="AW510" s="1"/>
  <c r="AP506"/>
  <c r="AO506"/>
  <c r="AQ506" s="1"/>
  <c r="AW506" s="1"/>
  <c r="AZ506" s="1"/>
  <c r="AF512"/>
  <c r="AG512"/>
  <c r="AG508" s="1"/>
  <c r="AO508" s="1"/>
  <c r="AH512"/>
  <c r="AI512"/>
  <c r="AJ512"/>
  <c r="AK512"/>
  <c r="AL512"/>
  <c r="AM512"/>
  <c r="AN512"/>
  <c r="AO512"/>
  <c r="AR512"/>
  <c r="AS512"/>
  <c r="AT512"/>
  <c r="AU512"/>
  <c r="AV512"/>
  <c r="AE512"/>
  <c r="AF509"/>
  <c r="AH509"/>
  <c r="AJ509"/>
  <c r="AL509"/>
  <c r="AN509"/>
  <c r="AR509"/>
  <c r="AS509"/>
  <c r="AT509"/>
  <c r="AU509"/>
  <c r="AV509"/>
  <c r="AE509"/>
  <c r="AZ507" l="1"/>
  <c r="AQ508"/>
  <c r="AW508" s="1"/>
  <c r="AZ508" s="1"/>
  <c r="AG509"/>
  <c r="AZ510"/>
  <c r="AQ512"/>
  <c r="AO509"/>
  <c r="AQ511"/>
  <c r="AW511" s="1"/>
  <c r="AW512" s="1"/>
  <c r="AZ512" s="1"/>
  <c r="AQ509" l="1"/>
  <c r="AW509"/>
  <c r="AZ511"/>
  <c r="AV429" l="1"/>
  <c r="AU429"/>
  <c r="AT429"/>
  <c r="AS429"/>
  <c r="AR429"/>
  <c r="AV426"/>
  <c r="AU426"/>
  <c r="AU425" s="1"/>
  <c r="AT426"/>
  <c r="AT425" s="1"/>
  <c r="AT430" s="1"/>
  <c r="AS426"/>
  <c r="AS425" s="1"/>
  <c r="AR426"/>
  <c r="AK429"/>
  <c r="AO429" s="1"/>
  <c r="AK426"/>
  <c r="AK425" s="1"/>
  <c r="AY430"/>
  <c r="AY425"/>
  <c r="AY422"/>
  <c r="AP429"/>
  <c r="AD429"/>
  <c r="V429"/>
  <c r="AP428"/>
  <c r="AO428"/>
  <c r="AQ428" s="1"/>
  <c r="AD428"/>
  <c r="V428"/>
  <c r="AF428" s="1"/>
  <c r="AP427"/>
  <c r="AG425"/>
  <c r="AG430" s="1"/>
  <c r="AD427"/>
  <c r="V427"/>
  <c r="AF427" s="1"/>
  <c r="AP426"/>
  <c r="AP425" s="1"/>
  <c r="AD426"/>
  <c r="AD425" s="1"/>
  <c r="V426"/>
  <c r="AV425"/>
  <c r="AR425"/>
  <c r="AN425"/>
  <c r="AN430" s="1"/>
  <c r="AM425"/>
  <c r="AM430" s="1"/>
  <c r="AL425"/>
  <c r="AL430" s="1"/>
  <c r="AJ425"/>
  <c r="AJ430" s="1"/>
  <c r="AI425"/>
  <c r="AI430" s="1"/>
  <c r="AH425"/>
  <c r="AH430" s="1"/>
  <c r="AE425"/>
  <c r="AE430" s="1"/>
  <c r="AE423" s="1"/>
  <c r="AE424" s="1"/>
  <c r="Y425"/>
  <c r="Y430" s="1"/>
  <c r="Y423" s="1"/>
  <c r="Y424" s="1"/>
  <c r="X425"/>
  <c r="X430" s="1"/>
  <c r="X423" s="1"/>
  <c r="W425"/>
  <c r="W430" s="1"/>
  <c r="W423" s="1"/>
  <c r="W424" s="1"/>
  <c r="AC423"/>
  <c r="AB423"/>
  <c r="AA423"/>
  <c r="AD422"/>
  <c r="V422"/>
  <c r="AP421"/>
  <c r="AO421"/>
  <c r="AQ421" s="1"/>
  <c r="AF421"/>
  <c r="AD421"/>
  <c r="AP420"/>
  <c r="AD420"/>
  <c r="V420"/>
  <c r="AP419"/>
  <c r="AO419"/>
  <c r="AD419"/>
  <c r="V419"/>
  <c r="AF419" s="1"/>
  <c r="AY195"/>
  <c r="AO193"/>
  <c r="AO194"/>
  <c r="AV195"/>
  <c r="AV422" s="1"/>
  <c r="AU195"/>
  <c r="AU422" s="1"/>
  <c r="AT195"/>
  <c r="AT422" s="1"/>
  <c r="AS195"/>
  <c r="AS191" s="1"/>
  <c r="AS192" s="1"/>
  <c r="AR195"/>
  <c r="AR422" s="1"/>
  <c r="AN195"/>
  <c r="AN422" s="1"/>
  <c r="AM195"/>
  <c r="AM422" s="1"/>
  <c r="AL195"/>
  <c r="AL422" s="1"/>
  <c r="AK195"/>
  <c r="AK191" s="1"/>
  <c r="AK192" s="1"/>
  <c r="AJ195"/>
  <c r="AJ422" s="1"/>
  <c r="AH195"/>
  <c r="AH422" s="1"/>
  <c r="AP194"/>
  <c r="AP193"/>
  <c r="AI195"/>
  <c r="AI191" s="1"/>
  <c r="AI192" s="1"/>
  <c r="AG195"/>
  <c r="AG191" s="1"/>
  <c r="AE195"/>
  <c r="Z195"/>
  <c r="Z191" s="1"/>
  <c r="Z192" s="1"/>
  <c r="Y195"/>
  <c r="Y191" s="1"/>
  <c r="Y192" s="1"/>
  <c r="X195"/>
  <c r="X191" s="1"/>
  <c r="X192" s="1"/>
  <c r="W195"/>
  <c r="W191" s="1"/>
  <c r="AV192"/>
  <c r="AU192"/>
  <c r="AE192"/>
  <c r="AR191"/>
  <c r="AR192" s="1"/>
  <c r="AM191"/>
  <c r="AM192" s="1"/>
  <c r="AL191"/>
  <c r="AL192" s="1"/>
  <c r="AP190"/>
  <c r="AO190"/>
  <c r="V190"/>
  <c r="AF190" s="1"/>
  <c r="AP189"/>
  <c r="AO189"/>
  <c r="V189"/>
  <c r="AF189" s="1"/>
  <c r="AP422" l="1"/>
  <c r="AI423"/>
  <c r="AI424" s="1"/>
  <c r="AS422"/>
  <c r="AS430"/>
  <c r="AS423" s="1"/>
  <c r="AJ191"/>
  <c r="AJ192" s="1"/>
  <c r="AQ194"/>
  <c r="AW194" s="1"/>
  <c r="AZ194" s="1"/>
  <c r="AI422"/>
  <c r="AN191"/>
  <c r="AN192" s="1"/>
  <c r="AP195"/>
  <c r="AL423"/>
  <c r="AL424" s="1"/>
  <c r="AT191"/>
  <c r="AT192" s="1"/>
  <c r="AH191"/>
  <c r="AM423"/>
  <c r="AP430"/>
  <c r="AK422"/>
  <c r="AG422"/>
  <c r="AQ190"/>
  <c r="AW190" s="1"/>
  <c r="AJ423"/>
  <c r="AJ424" s="1"/>
  <c r="V425"/>
  <c r="V430" s="1"/>
  <c r="V423" s="1"/>
  <c r="V424" s="1"/>
  <c r="AN423"/>
  <c r="AN424" s="1"/>
  <c r="AH423"/>
  <c r="AH424" s="1"/>
  <c r="AQ429"/>
  <c r="AW429" s="1"/>
  <c r="AZ429" s="1"/>
  <c r="AR430"/>
  <c r="AR423" s="1"/>
  <c r="AR424" s="1"/>
  <c r="AV430"/>
  <c r="AV423" s="1"/>
  <c r="AV424" s="1"/>
  <c r="AU430"/>
  <c r="AS424"/>
  <c r="AK430"/>
  <c r="AO426"/>
  <c r="AQ426" s="1"/>
  <c r="AU423"/>
  <c r="AU424" s="1"/>
  <c r="AT423"/>
  <c r="AT424" s="1"/>
  <c r="AQ419"/>
  <c r="AD430"/>
  <c r="AD423" s="1"/>
  <c r="AD424" s="1"/>
  <c r="X424"/>
  <c r="AO420"/>
  <c r="AQ420" s="1"/>
  <c r="AP423"/>
  <c r="AP424" s="1"/>
  <c r="AG423"/>
  <c r="AG424" s="1"/>
  <c r="AM424"/>
  <c r="AW428"/>
  <c r="AZ428" s="1"/>
  <c r="AW421"/>
  <c r="AF420"/>
  <c r="AO427"/>
  <c r="AQ427" s="1"/>
  <c r="AW427" s="1"/>
  <c r="AZ427" s="1"/>
  <c r="Z425"/>
  <c r="Z430" s="1"/>
  <c r="Z423" s="1"/>
  <c r="Z424" s="1"/>
  <c r="AQ193"/>
  <c r="AW193" s="1"/>
  <c r="AF195"/>
  <c r="AG192"/>
  <c r="AO191"/>
  <c r="W192"/>
  <c r="AD192"/>
  <c r="V195"/>
  <c r="V191" s="1"/>
  <c r="AO195"/>
  <c r="AD195"/>
  <c r="AH192"/>
  <c r="AQ189"/>
  <c r="AP191" l="1"/>
  <c r="AP192" s="1"/>
  <c r="AQ191"/>
  <c r="AQ192" s="1"/>
  <c r="AK423"/>
  <c r="AK424" s="1"/>
  <c r="AF191"/>
  <c r="AW191" s="1"/>
  <c r="AF422"/>
  <c r="AO422"/>
  <c r="AQ422" s="1"/>
  <c r="AQ425"/>
  <c r="AQ430" s="1"/>
  <c r="AW420"/>
  <c r="AZ420" s="1"/>
  <c r="AO425"/>
  <c r="AO430" s="1"/>
  <c r="AW426"/>
  <c r="AF425"/>
  <c r="AF430" s="1"/>
  <c r="AW419"/>
  <c r="AQ195"/>
  <c r="AW189"/>
  <c r="AW195"/>
  <c r="AZ195" s="1"/>
  <c r="AZ193"/>
  <c r="AO192"/>
  <c r="V192"/>
  <c r="AF192"/>
  <c r="AF423" l="1"/>
  <c r="AF424" s="1"/>
  <c r="AO423"/>
  <c r="AO424" s="1"/>
  <c r="AW422"/>
  <c r="AZ422" s="1"/>
  <c r="AQ423"/>
  <c r="AQ424" s="1"/>
  <c r="AZ419"/>
  <c r="AW425"/>
  <c r="AZ426"/>
  <c r="AW192"/>
  <c r="AZ425" l="1"/>
  <c r="AW430"/>
  <c r="AW423" l="1"/>
  <c r="AZ430"/>
  <c r="AE431"/>
  <c r="AE432"/>
  <c r="AR500"/>
  <c r="AH500"/>
  <c r="AI500"/>
  <c r="AJ500"/>
  <c r="AK500"/>
  <c r="AL500"/>
  <c r="AM500"/>
  <c r="AN500"/>
  <c r="AW424" l="1"/>
  <c r="I77" i="29"/>
  <c r="I134" s="1"/>
  <c r="E19"/>
  <c r="AF152" i="12" l="1"/>
  <c r="AO152"/>
  <c r="AQ152" s="1"/>
  <c r="AP152"/>
  <c r="AH153"/>
  <c r="AI153"/>
  <c r="AJ153"/>
  <c r="AK153"/>
  <c r="AL153"/>
  <c r="AM153"/>
  <c r="AN153"/>
  <c r="AR153"/>
  <c r="AS153"/>
  <c r="AT153"/>
  <c r="AU153"/>
  <c r="AV153"/>
  <c r="AE153"/>
  <c r="AH34"/>
  <c r="AI34"/>
  <c r="AJ34"/>
  <c r="AK34"/>
  <c r="AL34"/>
  <c r="AM34"/>
  <c r="AN34"/>
  <c r="AR34"/>
  <c r="AS34"/>
  <c r="AT34"/>
  <c r="AU34"/>
  <c r="AV34"/>
  <c r="AG34"/>
  <c r="AE34"/>
  <c r="AR215"/>
  <c r="AM215"/>
  <c r="AG31"/>
  <c r="AI31"/>
  <c r="AK31"/>
  <c r="AM31"/>
  <c r="AR31"/>
  <c r="AS31"/>
  <c r="AT31"/>
  <c r="AU31"/>
  <c r="AV31"/>
  <c r="AE31"/>
  <c r="AN222"/>
  <c r="AN223"/>
  <c r="AM223"/>
  <c r="AM222"/>
  <c r="AK281"/>
  <c r="AI281"/>
  <c r="AG281"/>
  <c r="AG338"/>
  <c r="AI234"/>
  <c r="AG234"/>
  <c r="AO230"/>
  <c r="AG223"/>
  <c r="AG222"/>
  <c r="AM224"/>
  <c r="AM221"/>
  <c r="AK224"/>
  <c r="AK221"/>
  <c r="AI224"/>
  <c r="AI221"/>
  <c r="AG224"/>
  <c r="AG221"/>
  <c r="AR222"/>
  <c r="AR221"/>
  <c r="AK222"/>
  <c r="AI222"/>
  <c r="AG484"/>
  <c r="AR487"/>
  <c r="AS487"/>
  <c r="AT487"/>
  <c r="AU487"/>
  <c r="AV487"/>
  <c r="AH487"/>
  <c r="AI487"/>
  <c r="AJ487"/>
  <c r="AK487"/>
  <c r="AL487"/>
  <c r="AM487"/>
  <c r="AN487"/>
  <c r="AG466"/>
  <c r="AG464"/>
  <c r="AG298"/>
  <c r="AI447"/>
  <c r="AI445"/>
  <c r="AG445"/>
  <c r="AI289"/>
  <c r="AG289"/>
  <c r="AG476"/>
  <c r="AG474"/>
  <c r="AG475"/>
  <c r="AG307"/>
  <c r="AG487" l="1"/>
  <c r="AW152"/>
  <c r="AY398"/>
  <c r="AI404"/>
  <c r="AG404"/>
  <c r="AI403"/>
  <c r="AG403"/>
  <c r="AI402"/>
  <c r="AG402"/>
  <c r="AY401"/>
  <c r="AM405"/>
  <c r="AK405"/>
  <c r="AI405"/>
  <c r="AG405"/>
  <c r="AR180"/>
  <c r="AR181" s="1"/>
  <c r="AR177" s="1"/>
  <c r="AR178" s="1"/>
  <c r="AM180"/>
  <c r="AM181" s="1"/>
  <c r="AM177" s="1"/>
  <c r="AM178" s="1"/>
  <c r="AK180"/>
  <c r="AK181" s="1"/>
  <c r="AK177" s="1"/>
  <c r="AK178" s="1"/>
  <c r="AI180"/>
  <c r="AG180"/>
  <c r="AI179"/>
  <c r="AG179"/>
  <c r="AT177"/>
  <c r="AT178" s="1"/>
  <c r="AS181"/>
  <c r="AS177" s="1"/>
  <c r="AS178" s="1"/>
  <c r="AT181"/>
  <c r="AU181"/>
  <c r="AU177" s="1"/>
  <c r="AU178" s="1"/>
  <c r="AV181"/>
  <c r="AV177" s="1"/>
  <c r="AV178" s="1"/>
  <c r="AH181"/>
  <c r="AH177" s="1"/>
  <c r="AH178" s="1"/>
  <c r="AJ181"/>
  <c r="AJ177" s="1"/>
  <c r="AJ178" s="1"/>
  <c r="AL181"/>
  <c r="AL177" s="1"/>
  <c r="AL178" s="1"/>
  <c r="AN181"/>
  <c r="AN177" s="1"/>
  <c r="AN178" s="1"/>
  <c r="AR408"/>
  <c r="AG407"/>
  <c r="AI416"/>
  <c r="AG416"/>
  <c r="AI415"/>
  <c r="AG415"/>
  <c r="AG417"/>
  <c r="AG187"/>
  <c r="AI186"/>
  <c r="AG186"/>
  <c r="AG181" l="1"/>
  <c r="AG177" s="1"/>
  <c r="AG178" s="1"/>
  <c r="AI181"/>
  <c r="AI177" s="1"/>
  <c r="AI178" s="1"/>
  <c r="AR200"/>
  <c r="AM200"/>
  <c r="AK200"/>
  <c r="AI200"/>
  <c r="AG200"/>
  <c r="AR199"/>
  <c r="AM199"/>
  <c r="AK199"/>
  <c r="AI199"/>
  <c r="AG199"/>
  <c r="AR206"/>
  <c r="AM206"/>
  <c r="AK206"/>
  <c r="AI206"/>
  <c r="AG206"/>
  <c r="AR204"/>
  <c r="AM204"/>
  <c r="AK204"/>
  <c r="AI204"/>
  <c r="AG204"/>
  <c r="AS206"/>
  <c r="AS205"/>
  <c r="AS204"/>
  <c r="AR205"/>
  <c r="AM205"/>
  <c r="AK205"/>
  <c r="AI205"/>
  <c r="AG205"/>
  <c r="AG504"/>
  <c r="AG503"/>
  <c r="AG499"/>
  <c r="AG151"/>
  <c r="AE503"/>
  <c r="AE504"/>
  <c r="AK276"/>
  <c r="AK280"/>
  <c r="AI276"/>
  <c r="AI280"/>
  <c r="AG276"/>
  <c r="AG280"/>
  <c r="AG500" l="1"/>
  <c r="AG153"/>
  <c r="AG373"/>
  <c r="AG374"/>
  <c r="AG158"/>
  <c r="AG157"/>
  <c r="AG165"/>
  <c r="AG164"/>
  <c r="AP351"/>
  <c r="AO351"/>
  <c r="P101"/>
  <c r="T101" s="1"/>
  <c r="M101"/>
  <c r="H101"/>
  <c r="O101" s="1"/>
  <c r="V101" s="1"/>
  <c r="P100"/>
  <c r="T100" s="1"/>
  <c r="M100"/>
  <c r="H100"/>
  <c r="O100" s="1"/>
  <c r="V100" s="1"/>
  <c r="AO100"/>
  <c r="AQ100" s="1"/>
  <c r="AW100" s="1"/>
  <c r="AP100"/>
  <c r="AO101"/>
  <c r="AQ101" s="1"/>
  <c r="AW101" s="1"/>
  <c r="AP101"/>
  <c r="AQ351" l="1"/>
  <c r="AW351" s="1"/>
  <c r="AP213"/>
  <c r="AO213"/>
  <c r="W213"/>
  <c r="AD213" s="1"/>
  <c r="P213"/>
  <c r="T213" s="1"/>
  <c r="O213"/>
  <c r="V213" s="1"/>
  <c r="AF213" s="1"/>
  <c r="M213"/>
  <c r="AP212"/>
  <c r="AO212"/>
  <c r="AD212"/>
  <c r="P212"/>
  <c r="T212" s="1"/>
  <c r="O212"/>
  <c r="V212" s="1"/>
  <c r="AF212" s="1"/>
  <c r="M212"/>
  <c r="AP211"/>
  <c r="AO211"/>
  <c r="AD211"/>
  <c r="W211"/>
  <c r="T211"/>
  <c r="O211"/>
  <c r="V211" s="1"/>
  <c r="AF211" s="1"/>
  <c r="M211"/>
  <c r="AP210"/>
  <c r="AO210"/>
  <c r="AD210"/>
  <c r="P210"/>
  <c r="T210" s="1"/>
  <c r="O210"/>
  <c r="V210" s="1"/>
  <c r="AF210" s="1"/>
  <c r="M210"/>
  <c r="AR216"/>
  <c r="AM216"/>
  <c r="AK216"/>
  <c r="AK215"/>
  <c r="AI215"/>
  <c r="AO215" s="1"/>
  <c r="AR224"/>
  <c r="AR223"/>
  <c r="AK223"/>
  <c r="AI223"/>
  <c r="AS223"/>
  <c r="AS222"/>
  <c r="AS221"/>
  <c r="AR109"/>
  <c r="AM109"/>
  <c r="AG263"/>
  <c r="AI250"/>
  <c r="AI243"/>
  <c r="AI251"/>
  <c r="AI249"/>
  <c r="AI241"/>
  <c r="AG241"/>
  <c r="AG249"/>
  <c r="AG315"/>
  <c r="AG323"/>
  <c r="AG322"/>
  <c r="AG313"/>
  <c r="AG321"/>
  <c r="AI235"/>
  <c r="AG235"/>
  <c r="AI233"/>
  <c r="AG233"/>
  <c r="AQ213" l="1"/>
  <c r="AW213" s="1"/>
  <c r="AZ213" s="1"/>
  <c r="AQ210"/>
  <c r="AQ211"/>
  <c r="AW211" s="1"/>
  <c r="AZ211" s="1"/>
  <c r="AQ212"/>
  <c r="AW212" s="1"/>
  <c r="AZ212" s="1"/>
  <c r="AW210"/>
  <c r="AZ210" s="1"/>
  <c r="AO234"/>
  <c r="AI339"/>
  <c r="AG339"/>
  <c r="AO338"/>
  <c r="AG328"/>
  <c r="AG18" s="1"/>
  <c r="AI337"/>
  <c r="AG337"/>
  <c r="AG5"/>
  <c r="AH5"/>
  <c r="AI5"/>
  <c r="AJ5"/>
  <c r="AK5"/>
  <c r="AL5"/>
  <c r="AM5"/>
  <c r="AN5"/>
  <c r="AO5"/>
  <c r="AP5"/>
  <c r="AQ5"/>
  <c r="AG6"/>
  <c r="AH6"/>
  <c r="AI6"/>
  <c r="AJ6"/>
  <c r="AK6"/>
  <c r="AL6"/>
  <c r="AM6"/>
  <c r="AN6"/>
  <c r="AO6"/>
  <c r="AP6"/>
  <c r="AQ6"/>
  <c r="AG7"/>
  <c r="AH7"/>
  <c r="AI7"/>
  <c r="AJ7"/>
  <c r="AK7"/>
  <c r="AL7"/>
  <c r="AM7"/>
  <c r="AN7"/>
  <c r="AO7"/>
  <c r="AP7"/>
  <c r="AQ7"/>
  <c r="AG8"/>
  <c r="AH8"/>
  <c r="AI8"/>
  <c r="AJ8"/>
  <c r="AK8"/>
  <c r="AL8"/>
  <c r="AM8"/>
  <c r="AN8"/>
  <c r="AO8"/>
  <c r="AP8"/>
  <c r="AQ8"/>
  <c r="AG9"/>
  <c r="AH9"/>
  <c r="AI9"/>
  <c r="AJ9"/>
  <c r="AK9"/>
  <c r="AL9"/>
  <c r="AM9"/>
  <c r="AN9"/>
  <c r="AG10"/>
  <c r="AH10"/>
  <c r="AI10"/>
  <c r="AJ10"/>
  <c r="AK10"/>
  <c r="AL10"/>
  <c r="AM10"/>
  <c r="AN10"/>
  <c r="AG11"/>
  <c r="AH11"/>
  <c r="AI11"/>
  <c r="AJ11"/>
  <c r="AK11"/>
  <c r="AL11"/>
  <c r="AM11"/>
  <c r="AN11"/>
  <c r="AG12"/>
  <c r="AH12"/>
  <c r="AI12"/>
  <c r="AJ12"/>
  <c r="AK12"/>
  <c r="AL12"/>
  <c r="AM12"/>
  <c r="AN12"/>
  <c r="AG13"/>
  <c r="AH13"/>
  <c r="AI13"/>
  <c r="AJ13"/>
  <c r="AK13"/>
  <c r="AL13"/>
  <c r="AM13"/>
  <c r="AN13"/>
  <c r="AG15"/>
  <c r="AH15"/>
  <c r="AI15"/>
  <c r="AJ15"/>
  <c r="AK15"/>
  <c r="AL15"/>
  <c r="AM15"/>
  <c r="AN15"/>
  <c r="AG16"/>
  <c r="AH16"/>
  <c r="AI16"/>
  <c r="AJ16"/>
  <c r="AK16"/>
  <c r="AL16"/>
  <c r="AM16"/>
  <c r="AN16"/>
  <c r="AG17"/>
  <c r="AH17"/>
  <c r="AI17"/>
  <c r="AJ17"/>
  <c r="AK17"/>
  <c r="AL17"/>
  <c r="AM17"/>
  <c r="AN17"/>
  <c r="AH18"/>
  <c r="AI18"/>
  <c r="AJ18"/>
  <c r="AK18"/>
  <c r="AL18"/>
  <c r="AM18"/>
  <c r="AN18"/>
  <c r="AG19"/>
  <c r="AH19"/>
  <c r="AI19"/>
  <c r="AJ19"/>
  <c r="AK19"/>
  <c r="AL19"/>
  <c r="AM19"/>
  <c r="AN19"/>
  <c r="AG20"/>
  <c r="AH20"/>
  <c r="AI20"/>
  <c r="AJ20"/>
  <c r="AK20"/>
  <c r="AL20"/>
  <c r="AM20"/>
  <c r="AN20"/>
  <c r="AG21"/>
  <c r="AH21"/>
  <c r="AI21"/>
  <c r="AJ21"/>
  <c r="AK21"/>
  <c r="AL21"/>
  <c r="AM21"/>
  <c r="AN21"/>
  <c r="AG22"/>
  <c r="AH22"/>
  <c r="AI22"/>
  <c r="AJ22"/>
  <c r="AK22"/>
  <c r="AL22"/>
  <c r="AM22"/>
  <c r="AN22"/>
  <c r="AG23"/>
  <c r="AH23"/>
  <c r="AI23"/>
  <c r="AJ23"/>
  <c r="AK23"/>
  <c r="AL23"/>
  <c r="AM23"/>
  <c r="AN23"/>
  <c r="AG24"/>
  <c r="AH24"/>
  <c r="AI24"/>
  <c r="AJ24"/>
  <c r="AK24"/>
  <c r="AL24"/>
  <c r="AM24"/>
  <c r="AN24"/>
  <c r="AG25"/>
  <c r="AH25"/>
  <c r="AI25"/>
  <c r="AJ25"/>
  <c r="AK25"/>
  <c r="AL25"/>
  <c r="AM25"/>
  <c r="AN25"/>
  <c r="AG26"/>
  <c r="AH26"/>
  <c r="AI26"/>
  <c r="AJ26"/>
  <c r="AK26"/>
  <c r="AL26"/>
  <c r="AM26"/>
  <c r="AN26"/>
  <c r="AG27"/>
  <c r="AH27"/>
  <c r="AI27"/>
  <c r="AJ27"/>
  <c r="AK27"/>
  <c r="AL27"/>
  <c r="AM27"/>
  <c r="AN27"/>
  <c r="AG28"/>
  <c r="AH28"/>
  <c r="AI28"/>
  <c r="AJ28"/>
  <c r="AK28"/>
  <c r="AL28"/>
  <c r="AM28"/>
  <c r="AN28"/>
  <c r="AG29"/>
  <c r="AH29"/>
  <c r="AI29"/>
  <c r="AJ29"/>
  <c r="AK29"/>
  <c r="AL29"/>
  <c r="AM29"/>
  <c r="AN29"/>
  <c r="AG30"/>
  <c r="AH30"/>
  <c r="AI30"/>
  <c r="AJ30"/>
  <c r="AK30"/>
  <c r="AL30"/>
  <c r="AM30"/>
  <c r="AN30"/>
  <c r="AO109"/>
  <c r="AG63"/>
  <c r="AO63" s="1"/>
  <c r="AG75"/>
  <c r="AO68"/>
  <c r="AG133"/>
  <c r="AO133" s="1"/>
  <c r="AV500"/>
  <c r="AU500"/>
  <c r="AT500"/>
  <c r="AS500"/>
  <c r="AI505"/>
  <c r="AI501" s="1"/>
  <c r="AI502" s="1"/>
  <c r="AJ505"/>
  <c r="AK505"/>
  <c r="AL505"/>
  <c r="AM505"/>
  <c r="AM501" s="1"/>
  <c r="AM502" s="1"/>
  <c r="AN505"/>
  <c r="AR505"/>
  <c r="AS505"/>
  <c r="AT505"/>
  <c r="AT501" s="1"/>
  <c r="AT502" s="1"/>
  <c r="AU505"/>
  <c r="AV505"/>
  <c r="AG505"/>
  <c r="AH505"/>
  <c r="AH501" s="1"/>
  <c r="AH502" s="1"/>
  <c r="AL501"/>
  <c r="AL502" s="1"/>
  <c r="AS501"/>
  <c r="AS502" s="1"/>
  <c r="AG482"/>
  <c r="AG483" s="1"/>
  <c r="AH482"/>
  <c r="AI482"/>
  <c r="AJ482"/>
  <c r="AK482"/>
  <c r="AK483" s="1"/>
  <c r="AL482"/>
  <c r="AM482"/>
  <c r="AN482"/>
  <c r="AN483" s="1"/>
  <c r="AR482"/>
  <c r="AR483" s="1"/>
  <c r="AS482"/>
  <c r="AS483" s="1"/>
  <c r="AT482"/>
  <c r="AU482"/>
  <c r="AU483" s="1"/>
  <c r="AV482"/>
  <c r="AV483" s="1"/>
  <c r="AH483"/>
  <c r="AI483"/>
  <c r="AJ483"/>
  <c r="AL483"/>
  <c r="AM483"/>
  <c r="AT483"/>
  <c r="AV471"/>
  <c r="AU471"/>
  <c r="AT471"/>
  <c r="AT472" s="1"/>
  <c r="AT473" s="1"/>
  <c r="AS471"/>
  <c r="AR471"/>
  <c r="AN471"/>
  <c r="AM471"/>
  <c r="AM472" s="1"/>
  <c r="AM473" s="1"/>
  <c r="AL471"/>
  <c r="AK471"/>
  <c r="AJ471"/>
  <c r="AI471"/>
  <c r="AI472" s="1"/>
  <c r="AI473" s="1"/>
  <c r="AH471"/>
  <c r="AG471"/>
  <c r="AG477"/>
  <c r="AH477"/>
  <c r="AI477"/>
  <c r="AJ477"/>
  <c r="AK477"/>
  <c r="AL477"/>
  <c r="AL472" s="1"/>
  <c r="AL473" s="1"/>
  <c r="AM477"/>
  <c r="AN477"/>
  <c r="AR477"/>
  <c r="AS477"/>
  <c r="AS472" s="1"/>
  <c r="AS473" s="1"/>
  <c r="AT477"/>
  <c r="AU477"/>
  <c r="AV477"/>
  <c r="AH472"/>
  <c r="AH473" s="1"/>
  <c r="AG467"/>
  <c r="AH467"/>
  <c r="AI467"/>
  <c r="AJ467"/>
  <c r="AK467"/>
  <c r="AL467"/>
  <c r="AM467"/>
  <c r="AN467"/>
  <c r="AR467"/>
  <c r="AS467"/>
  <c r="AT467"/>
  <c r="AU467"/>
  <c r="AV467"/>
  <c r="AV461"/>
  <c r="AV463" s="1"/>
  <c r="AV462" s="1"/>
  <c r="AU461"/>
  <c r="AU463" s="1"/>
  <c r="AU462" s="1"/>
  <c r="AT461"/>
  <c r="AT463" s="1"/>
  <c r="AT462" s="1"/>
  <c r="AS461"/>
  <c r="AS463" s="1"/>
  <c r="AS462" s="1"/>
  <c r="AR461"/>
  <c r="AR463" s="1"/>
  <c r="AR462" s="1"/>
  <c r="AN461"/>
  <c r="AN463" s="1"/>
  <c r="AN462" s="1"/>
  <c r="AM461"/>
  <c r="AM463" s="1"/>
  <c r="AM462" s="1"/>
  <c r="AL461"/>
  <c r="AL463" s="1"/>
  <c r="AL462" s="1"/>
  <c r="AK461"/>
  <c r="AK463" s="1"/>
  <c r="AK462" s="1"/>
  <c r="AJ461"/>
  <c r="AI461"/>
  <c r="AI463" s="1"/>
  <c r="AI462" s="1"/>
  <c r="AH461"/>
  <c r="AG461"/>
  <c r="AG463" s="1"/>
  <c r="AG462" s="1"/>
  <c r="AJ463"/>
  <c r="AJ462" s="1"/>
  <c r="AG457"/>
  <c r="AG452" s="1"/>
  <c r="AG453" s="1"/>
  <c r="AH457"/>
  <c r="AH452" s="1"/>
  <c r="AI457"/>
  <c r="AI452" s="1"/>
  <c r="AI453" s="1"/>
  <c r="AJ457"/>
  <c r="AK457"/>
  <c r="AK452" s="1"/>
  <c r="AK453" s="1"/>
  <c r="AL457"/>
  <c r="AL452" s="1"/>
  <c r="AM457"/>
  <c r="AM452" s="1"/>
  <c r="AM453" s="1"/>
  <c r="AN457"/>
  <c r="AR457"/>
  <c r="AR452" s="1"/>
  <c r="AR453" s="1"/>
  <c r="AS457"/>
  <c r="AS452" s="1"/>
  <c r="AS453" s="1"/>
  <c r="AT457"/>
  <c r="AT452" s="1"/>
  <c r="AT453" s="1"/>
  <c r="AU457"/>
  <c r="AV457"/>
  <c r="AV452" s="1"/>
  <c r="AV453" s="1"/>
  <c r="AJ452"/>
  <c r="AJ453" s="1"/>
  <c r="AN452"/>
  <c r="AN453" s="1"/>
  <c r="AU452"/>
  <c r="AU453" s="1"/>
  <c r="AH453"/>
  <c r="AL453"/>
  <c r="AV442"/>
  <c r="AU442"/>
  <c r="AT442"/>
  <c r="AS442"/>
  <c r="AR442"/>
  <c r="AN442"/>
  <c r="AM442"/>
  <c r="AL442"/>
  <c r="AK442"/>
  <c r="AK443" s="1"/>
  <c r="AK444" s="1"/>
  <c r="AJ442"/>
  <c r="AI442"/>
  <c r="AH442"/>
  <c r="AG442"/>
  <c r="AG448"/>
  <c r="AH448"/>
  <c r="AH443" s="1"/>
  <c r="AH444" s="1"/>
  <c r="AI448"/>
  <c r="AJ448"/>
  <c r="AK448"/>
  <c r="AL448"/>
  <c r="AL443" s="1"/>
  <c r="AL444" s="1"/>
  <c r="AM448"/>
  <c r="AN448"/>
  <c r="AN443" s="1"/>
  <c r="AN444" s="1"/>
  <c r="AR448"/>
  <c r="AS448"/>
  <c r="AS443" s="1"/>
  <c r="AS444" s="1"/>
  <c r="AT448"/>
  <c r="AU448"/>
  <c r="AU443" s="1"/>
  <c r="AU444" s="1"/>
  <c r="AV448"/>
  <c r="AJ443"/>
  <c r="AJ444" s="1"/>
  <c r="AV432"/>
  <c r="AU432"/>
  <c r="AT432"/>
  <c r="AS432"/>
  <c r="AR432"/>
  <c r="AN432"/>
  <c r="AM432"/>
  <c r="AL432"/>
  <c r="AL433" s="1"/>
  <c r="AL434" s="1"/>
  <c r="AK432"/>
  <c r="AJ432"/>
  <c r="AI432"/>
  <c r="AH432"/>
  <c r="AG432"/>
  <c r="AG437"/>
  <c r="AH437"/>
  <c r="AI437"/>
  <c r="AJ437"/>
  <c r="AK437"/>
  <c r="AL437"/>
  <c r="AM437"/>
  <c r="AN437"/>
  <c r="AR437"/>
  <c r="AS437"/>
  <c r="AT437"/>
  <c r="AU437"/>
  <c r="AV437"/>
  <c r="AG413"/>
  <c r="AG418" s="1"/>
  <c r="AH413"/>
  <c r="AH418" s="1"/>
  <c r="AI413"/>
  <c r="AI418" s="1"/>
  <c r="AJ413"/>
  <c r="AJ418" s="1"/>
  <c r="AK413"/>
  <c r="AK418" s="1"/>
  <c r="AL413"/>
  <c r="AL418" s="1"/>
  <c r="AM413"/>
  <c r="AM418" s="1"/>
  <c r="AN413"/>
  <c r="AN418" s="1"/>
  <c r="AR413"/>
  <c r="AR418" s="1"/>
  <c r="AS413"/>
  <c r="AS418" s="1"/>
  <c r="AT413"/>
  <c r="AT418" s="1"/>
  <c r="AU413"/>
  <c r="AU418" s="1"/>
  <c r="AV413"/>
  <c r="AV418" s="1"/>
  <c r="AV398"/>
  <c r="AU398"/>
  <c r="AT398"/>
  <c r="AS398"/>
  <c r="AR398"/>
  <c r="AN398"/>
  <c r="AM398"/>
  <c r="AL398"/>
  <c r="AK398"/>
  <c r="AJ398"/>
  <c r="AI398"/>
  <c r="AH398"/>
  <c r="AG398"/>
  <c r="AG401"/>
  <c r="AG406" s="1"/>
  <c r="AH401"/>
  <c r="AH406" s="1"/>
  <c r="AI401"/>
  <c r="AI406" s="1"/>
  <c r="AJ401"/>
  <c r="AJ406" s="1"/>
  <c r="AK401"/>
  <c r="AK406" s="1"/>
  <c r="AL401"/>
  <c r="AL406" s="1"/>
  <c r="AM401"/>
  <c r="AM406" s="1"/>
  <c r="AM399" s="1"/>
  <c r="AM400" s="1"/>
  <c r="AN401"/>
  <c r="AN406" s="1"/>
  <c r="AR401"/>
  <c r="AR406" s="1"/>
  <c r="AS401"/>
  <c r="AS406" s="1"/>
  <c r="AT401"/>
  <c r="AT406" s="1"/>
  <c r="AU401"/>
  <c r="AU406" s="1"/>
  <c r="AV401"/>
  <c r="AV406" s="1"/>
  <c r="AG395"/>
  <c r="AH395"/>
  <c r="AI395"/>
  <c r="AJ395"/>
  <c r="AK395"/>
  <c r="AL395"/>
  <c r="AM395"/>
  <c r="AN395"/>
  <c r="AR395"/>
  <c r="AS395"/>
  <c r="AT395"/>
  <c r="AU395"/>
  <c r="AV395"/>
  <c r="AG350"/>
  <c r="AG345" s="1"/>
  <c r="AG346" s="1"/>
  <c r="AH350"/>
  <c r="AH345" s="1"/>
  <c r="AH346" s="1"/>
  <c r="AI350"/>
  <c r="AI345" s="1"/>
  <c r="AI346" s="1"/>
  <c r="AJ350"/>
  <c r="AJ345" s="1"/>
  <c r="AJ346" s="1"/>
  <c r="AK350"/>
  <c r="AK345" s="1"/>
  <c r="AK346" s="1"/>
  <c r="AL350"/>
  <c r="AM350"/>
  <c r="AM345" s="1"/>
  <c r="AM346" s="1"/>
  <c r="AN350"/>
  <c r="AN345" s="1"/>
  <c r="AN346" s="1"/>
  <c r="AR350"/>
  <c r="AS350"/>
  <c r="AS345" s="1"/>
  <c r="AS346" s="1"/>
  <c r="AT350"/>
  <c r="AU350"/>
  <c r="AU345" s="1"/>
  <c r="AU346" s="1"/>
  <c r="AV350"/>
  <c r="AV345" s="1"/>
  <c r="AV346" s="1"/>
  <c r="AL345"/>
  <c r="AL346" s="1"/>
  <c r="AR345"/>
  <c r="AT345"/>
  <c r="AT346" s="1"/>
  <c r="AR346"/>
  <c r="AH340"/>
  <c r="AJ340"/>
  <c r="AK340"/>
  <c r="AK332" s="1"/>
  <c r="AK333" s="1"/>
  <c r="AL340"/>
  <c r="AM340"/>
  <c r="AM332" s="1"/>
  <c r="AM333" s="1"/>
  <c r="AN340"/>
  <c r="AR340"/>
  <c r="AR332" s="1"/>
  <c r="AR333" s="1"/>
  <c r="AS340"/>
  <c r="AT340"/>
  <c r="AT332" s="1"/>
  <c r="AT333" s="1"/>
  <c r="AU340"/>
  <c r="AU332" s="1"/>
  <c r="AU333" s="1"/>
  <c r="AV340"/>
  <c r="AV332" s="1"/>
  <c r="AV333" s="1"/>
  <c r="AS332"/>
  <c r="AS333" s="1"/>
  <c r="AG324"/>
  <c r="AG316" s="1"/>
  <c r="AG317" s="1"/>
  <c r="AH324"/>
  <c r="AI324"/>
  <c r="AI316" s="1"/>
  <c r="AI317" s="1"/>
  <c r="AJ324"/>
  <c r="AJ316" s="1"/>
  <c r="AJ317" s="1"/>
  <c r="AK324"/>
  <c r="AL324"/>
  <c r="AL316" s="1"/>
  <c r="AL317" s="1"/>
  <c r="AM324"/>
  <c r="AM316" s="1"/>
  <c r="AM317" s="1"/>
  <c r="AN324"/>
  <c r="AN316" s="1"/>
  <c r="AN317" s="1"/>
  <c r="AR324"/>
  <c r="AR316" s="1"/>
  <c r="AR317" s="1"/>
  <c r="AS324"/>
  <c r="AS316" s="1"/>
  <c r="AS317" s="1"/>
  <c r="AT324"/>
  <c r="AT316" s="1"/>
  <c r="AT317" s="1"/>
  <c r="AU324"/>
  <c r="AU316" s="1"/>
  <c r="AU317" s="1"/>
  <c r="AV324"/>
  <c r="AV316" s="1"/>
  <c r="AV317" s="1"/>
  <c r="AH316"/>
  <c r="AH317" s="1"/>
  <c r="AK316"/>
  <c r="AK317" s="1"/>
  <c r="AG309"/>
  <c r="AG304" s="1"/>
  <c r="AG305" s="1"/>
  <c r="AH309"/>
  <c r="AH304" s="1"/>
  <c r="AH305" s="1"/>
  <c r="AI309"/>
  <c r="AI304" s="1"/>
  <c r="AI305" s="1"/>
  <c r="AJ309"/>
  <c r="AJ304" s="1"/>
  <c r="AJ305" s="1"/>
  <c r="AK309"/>
  <c r="AK304" s="1"/>
  <c r="AK305" s="1"/>
  <c r="AL309"/>
  <c r="AL304" s="1"/>
  <c r="AL305" s="1"/>
  <c r="AM309"/>
  <c r="AN309"/>
  <c r="AN304" s="1"/>
  <c r="AN305" s="1"/>
  <c r="AR309"/>
  <c r="AR304" s="1"/>
  <c r="AR305" s="1"/>
  <c r="AS309"/>
  <c r="AS304" s="1"/>
  <c r="AS305" s="1"/>
  <c r="AT309"/>
  <c r="AT304" s="1"/>
  <c r="AT305" s="1"/>
  <c r="AU309"/>
  <c r="AU304" s="1"/>
  <c r="AU305" s="1"/>
  <c r="AV309"/>
  <c r="AV304" s="1"/>
  <c r="AV305" s="1"/>
  <c r="AM304"/>
  <c r="AM305" s="1"/>
  <c r="AG300"/>
  <c r="AG296" s="1"/>
  <c r="AH300"/>
  <c r="AI300"/>
  <c r="AI296" s="1"/>
  <c r="AJ300"/>
  <c r="AJ295" s="1"/>
  <c r="AK300"/>
  <c r="AK295" s="1"/>
  <c r="AL300"/>
  <c r="AM300"/>
  <c r="AM295" s="1"/>
  <c r="AN300"/>
  <c r="AN295" s="1"/>
  <c r="AR300"/>
  <c r="AR295" s="1"/>
  <c r="AS300"/>
  <c r="AS295" s="1"/>
  <c r="AT300"/>
  <c r="AU300"/>
  <c r="AU295" s="1"/>
  <c r="AV300"/>
  <c r="AV295" s="1"/>
  <c r="AV296"/>
  <c r="AG291"/>
  <c r="AG286" s="1"/>
  <c r="AG287" s="1"/>
  <c r="AH291"/>
  <c r="AI291"/>
  <c r="AI286" s="1"/>
  <c r="AI287" s="1"/>
  <c r="AJ291"/>
  <c r="AJ286" s="1"/>
  <c r="AJ287" s="1"/>
  <c r="AK291"/>
  <c r="AK286" s="1"/>
  <c r="AK287" s="1"/>
  <c r="AL291"/>
  <c r="AL286" s="1"/>
  <c r="AL287" s="1"/>
  <c r="AM291"/>
  <c r="AM286" s="1"/>
  <c r="AM287" s="1"/>
  <c r="AN291"/>
  <c r="AR291"/>
  <c r="AS291"/>
  <c r="AS286" s="1"/>
  <c r="AS287" s="1"/>
  <c r="AT291"/>
  <c r="AT286" s="1"/>
  <c r="AT287" s="1"/>
  <c r="AU291"/>
  <c r="AU286" s="1"/>
  <c r="AU287" s="1"/>
  <c r="AV291"/>
  <c r="AV286" s="1"/>
  <c r="AV287" s="1"/>
  <c r="AH286"/>
  <c r="AN286"/>
  <c r="AN287" s="1"/>
  <c r="AR286"/>
  <c r="AR287" s="1"/>
  <c r="AH287"/>
  <c r="AG282"/>
  <c r="AG278" s="1"/>
  <c r="AG279" s="1"/>
  <c r="AH282"/>
  <c r="AH277" s="1"/>
  <c r="AH278" s="1"/>
  <c r="AI282"/>
  <c r="AJ282"/>
  <c r="AK282"/>
  <c r="AL282"/>
  <c r="AM282"/>
  <c r="AM278" s="1"/>
  <c r="AM279" s="1"/>
  <c r="AN282"/>
  <c r="AN278" s="1"/>
  <c r="AN279" s="1"/>
  <c r="AR282"/>
  <c r="AR278" s="1"/>
  <c r="AR279" s="1"/>
  <c r="AS282"/>
  <c r="AS278" s="1"/>
  <c r="AS279" s="1"/>
  <c r="AT282"/>
  <c r="AU282"/>
  <c r="AV282"/>
  <c r="AG274"/>
  <c r="AG269" s="1"/>
  <c r="AG270" s="1"/>
  <c r="AH274"/>
  <c r="AH269" s="1"/>
  <c r="AH270" s="1"/>
  <c r="AI274"/>
  <c r="AJ274"/>
  <c r="AJ269" s="1"/>
  <c r="AJ270" s="1"/>
  <c r="AK274"/>
  <c r="AK269" s="1"/>
  <c r="AK270" s="1"/>
  <c r="AL274"/>
  <c r="AL269" s="1"/>
  <c r="AL270" s="1"/>
  <c r="AM274"/>
  <c r="AN274"/>
  <c r="AN269" s="1"/>
  <c r="AN270" s="1"/>
  <c r="AR274"/>
  <c r="AR269" s="1"/>
  <c r="AR270" s="1"/>
  <c r="AS274"/>
  <c r="AS269" s="1"/>
  <c r="AS270" s="1"/>
  <c r="AT274"/>
  <c r="AU274"/>
  <c r="AU269" s="1"/>
  <c r="AU270" s="1"/>
  <c r="AV274"/>
  <c r="AV269" s="1"/>
  <c r="AV270" s="1"/>
  <c r="AI269"/>
  <c r="AI270" s="1"/>
  <c r="AM269"/>
  <c r="AM270" s="1"/>
  <c r="AT269"/>
  <c r="AT270" s="1"/>
  <c r="AG265"/>
  <c r="AG260" s="1"/>
  <c r="AG261" s="1"/>
  <c r="AH265"/>
  <c r="AI265"/>
  <c r="AJ265"/>
  <c r="AK265"/>
  <c r="AK260" s="1"/>
  <c r="AK261" s="1"/>
  <c r="AL265"/>
  <c r="AM265"/>
  <c r="AM260" s="1"/>
  <c r="AM261" s="1"/>
  <c r="AN265"/>
  <c r="AN260" s="1"/>
  <c r="AN261" s="1"/>
  <c r="AR265"/>
  <c r="AR260" s="1"/>
  <c r="AR261" s="1"/>
  <c r="AS265"/>
  <c r="AS260" s="1"/>
  <c r="AS261" s="1"/>
  <c r="AT265"/>
  <c r="AT260" s="1"/>
  <c r="AT261" s="1"/>
  <c r="AU265"/>
  <c r="AU260" s="1"/>
  <c r="AU261" s="1"/>
  <c r="AV265"/>
  <c r="AV260" s="1"/>
  <c r="AV261" s="1"/>
  <c r="AH260"/>
  <c r="AH261" s="1"/>
  <c r="AI260"/>
  <c r="AI261" s="1"/>
  <c r="AJ260"/>
  <c r="AJ261" s="1"/>
  <c r="AL260"/>
  <c r="AL261" s="1"/>
  <c r="AG252"/>
  <c r="AG244" s="1"/>
  <c r="AH252"/>
  <c r="AI252"/>
  <c r="AI244" s="1"/>
  <c r="AI245" s="1"/>
  <c r="AJ252"/>
  <c r="AK252"/>
  <c r="AK244" s="1"/>
  <c r="AK245" s="1"/>
  <c r="AL252"/>
  <c r="AL244" s="1"/>
  <c r="AL245" s="1"/>
  <c r="AM252"/>
  <c r="AM244" s="1"/>
  <c r="AM245" s="1"/>
  <c r="AN252"/>
  <c r="AN244" s="1"/>
  <c r="AN245" s="1"/>
  <c r="AR252"/>
  <c r="AR244" s="1"/>
  <c r="AR245" s="1"/>
  <c r="AS252"/>
  <c r="AS244" s="1"/>
  <c r="AS245" s="1"/>
  <c r="AT252"/>
  <c r="AU252"/>
  <c r="AU244" s="1"/>
  <c r="AU245" s="1"/>
  <c r="AV252"/>
  <c r="AV244" s="1"/>
  <c r="AV245" s="1"/>
  <c r="AH244"/>
  <c r="AJ244"/>
  <c r="AJ245" s="1"/>
  <c r="AT244"/>
  <c r="AT245" s="1"/>
  <c r="AH236"/>
  <c r="AI236"/>
  <c r="AI231" s="1"/>
  <c r="AI232" s="1"/>
  <c r="AJ236"/>
  <c r="AK236"/>
  <c r="AK231" s="1"/>
  <c r="AK232" s="1"/>
  <c r="AL236"/>
  <c r="AL230" s="1"/>
  <c r="AL231" s="1"/>
  <c r="AM236"/>
  <c r="AN236"/>
  <c r="AR236"/>
  <c r="AS236"/>
  <c r="AT236"/>
  <c r="AU236"/>
  <c r="AV236"/>
  <c r="AL232"/>
  <c r="AM231"/>
  <c r="AM232" s="1"/>
  <c r="AG220"/>
  <c r="AG225" s="1"/>
  <c r="AG218" s="1"/>
  <c r="AG219" s="1"/>
  <c r="AH220"/>
  <c r="AH225" s="1"/>
  <c r="AH217" s="1"/>
  <c r="AI220"/>
  <c r="AI225" s="1"/>
  <c r="AI218" s="1"/>
  <c r="AI219" s="1"/>
  <c r="AJ220"/>
  <c r="AJ225" s="1"/>
  <c r="AJ217" s="1"/>
  <c r="AK220"/>
  <c r="AK225" s="1"/>
  <c r="AK218" s="1"/>
  <c r="AK219" s="1"/>
  <c r="AL220"/>
  <c r="AL225" s="1"/>
  <c r="AM220"/>
  <c r="AM225" s="1"/>
  <c r="AM218" s="1"/>
  <c r="AM219" s="1"/>
  <c r="AN220"/>
  <c r="AN225" s="1"/>
  <c r="AR220"/>
  <c r="AR225" s="1"/>
  <c r="AR218" s="1"/>
  <c r="AR219" s="1"/>
  <c r="AS220"/>
  <c r="AS225" s="1"/>
  <c r="AS218" s="1"/>
  <c r="AS219" s="1"/>
  <c r="AT220"/>
  <c r="AT225" s="1"/>
  <c r="AT218" s="1"/>
  <c r="AT219" s="1"/>
  <c r="AU220"/>
  <c r="AU225" s="1"/>
  <c r="AU218" s="1"/>
  <c r="AU219" s="1"/>
  <c r="AV220"/>
  <c r="AV225" s="1"/>
  <c r="AV218" s="1"/>
  <c r="AV219" s="1"/>
  <c r="AG203"/>
  <c r="AG207" s="1"/>
  <c r="AG202" s="1"/>
  <c r="AG201" s="1"/>
  <c r="AH203"/>
  <c r="AH207" s="1"/>
  <c r="AH202" s="1"/>
  <c r="AH201" s="1"/>
  <c r="AI203"/>
  <c r="AI207" s="1"/>
  <c r="AI202" s="1"/>
  <c r="AI201" s="1"/>
  <c r="AJ203"/>
  <c r="AJ207" s="1"/>
  <c r="AJ202" s="1"/>
  <c r="AJ201" s="1"/>
  <c r="AK203"/>
  <c r="AK207" s="1"/>
  <c r="AK202" s="1"/>
  <c r="AK201" s="1"/>
  <c r="AL203"/>
  <c r="AL207" s="1"/>
  <c r="AL202" s="1"/>
  <c r="AL201" s="1"/>
  <c r="AM203"/>
  <c r="AM207" s="1"/>
  <c r="AN203"/>
  <c r="AN207" s="1"/>
  <c r="AN202" s="1"/>
  <c r="AN201" s="1"/>
  <c r="AR203"/>
  <c r="AR207" s="1"/>
  <c r="AR202" s="1"/>
  <c r="AR201" s="1"/>
  <c r="AS203"/>
  <c r="AS207" s="1"/>
  <c r="AT203"/>
  <c r="AT207" s="1"/>
  <c r="AT202" s="1"/>
  <c r="AT201" s="1"/>
  <c r="AU203"/>
  <c r="AU207" s="1"/>
  <c r="AU202" s="1"/>
  <c r="AU201" s="1"/>
  <c r="AV203"/>
  <c r="AV207" s="1"/>
  <c r="AV202" s="1"/>
  <c r="AV201" s="1"/>
  <c r="AG188"/>
  <c r="AH188"/>
  <c r="AI188"/>
  <c r="AJ188"/>
  <c r="AJ184" s="1"/>
  <c r="AJ185" s="1"/>
  <c r="AK188"/>
  <c r="AL188"/>
  <c r="AM188"/>
  <c r="AN188"/>
  <c r="AR188"/>
  <c r="AS188"/>
  <c r="AS410" s="1"/>
  <c r="AT188"/>
  <c r="AT410" s="1"/>
  <c r="AU188"/>
  <c r="AU410" s="1"/>
  <c r="AV188"/>
  <c r="AV410" s="1"/>
  <c r="AS185"/>
  <c r="AT185"/>
  <c r="AU185"/>
  <c r="AV185"/>
  <c r="AG174"/>
  <c r="AG387" s="1"/>
  <c r="AG390" s="1"/>
  <c r="AH174"/>
  <c r="AH387" s="1"/>
  <c r="AI174"/>
  <c r="AI387" s="1"/>
  <c r="AJ174"/>
  <c r="AJ387" s="1"/>
  <c r="AK174"/>
  <c r="AK387" s="1"/>
  <c r="AL174"/>
  <c r="AL387" s="1"/>
  <c r="AM174"/>
  <c r="AM387" s="1"/>
  <c r="AN174"/>
  <c r="AN387" s="1"/>
  <c r="AR174"/>
  <c r="AR387" s="1"/>
  <c r="AR390" s="1"/>
  <c r="AR391" s="1"/>
  <c r="AS174"/>
  <c r="AS387" s="1"/>
  <c r="AT174"/>
  <c r="AT387" s="1"/>
  <c r="AU174"/>
  <c r="AU387" s="1"/>
  <c r="AV174"/>
  <c r="AV387" s="1"/>
  <c r="AV390" s="1"/>
  <c r="AV391" s="1"/>
  <c r="AG171"/>
  <c r="AH171"/>
  <c r="AI171"/>
  <c r="AJ171"/>
  <c r="AK171"/>
  <c r="AL171"/>
  <c r="AM171"/>
  <c r="AN171"/>
  <c r="AR171"/>
  <c r="AS171"/>
  <c r="AT171"/>
  <c r="AU171"/>
  <c r="AV171"/>
  <c r="AG162"/>
  <c r="AG167" s="1"/>
  <c r="AH162"/>
  <c r="AH167" s="1"/>
  <c r="AH160" s="1"/>
  <c r="AH161" s="1"/>
  <c r="AI162"/>
  <c r="AI167" s="1"/>
  <c r="AI160" s="1"/>
  <c r="AI161" s="1"/>
  <c r="AJ162"/>
  <c r="AJ167" s="1"/>
  <c r="AJ160" s="1"/>
  <c r="AJ161" s="1"/>
  <c r="AK162"/>
  <c r="AK167" s="1"/>
  <c r="AK160" s="1"/>
  <c r="AK161" s="1"/>
  <c r="AL162"/>
  <c r="AL167" s="1"/>
  <c r="AL160" s="1"/>
  <c r="AL161" s="1"/>
  <c r="AM162"/>
  <c r="AM167" s="1"/>
  <c r="AM160" s="1"/>
  <c r="AM161" s="1"/>
  <c r="AN162"/>
  <c r="AN167" s="1"/>
  <c r="AN160" s="1"/>
  <c r="AN161" s="1"/>
  <c r="AR162"/>
  <c r="AR167" s="1"/>
  <c r="AS162"/>
  <c r="AS167" s="1"/>
  <c r="AS160" s="1"/>
  <c r="AS161" s="1"/>
  <c r="AT162"/>
  <c r="AT167" s="1"/>
  <c r="AT160" s="1"/>
  <c r="AT161" s="1"/>
  <c r="AU162"/>
  <c r="AU167" s="1"/>
  <c r="AU160" s="1"/>
  <c r="AU161" s="1"/>
  <c r="AV162"/>
  <c r="AV167" s="1"/>
  <c r="AV160" s="1"/>
  <c r="AV161" s="1"/>
  <c r="AG129"/>
  <c r="AH129"/>
  <c r="AH134" s="1"/>
  <c r="AH127" s="1"/>
  <c r="AH128" s="1"/>
  <c r="AI129"/>
  <c r="AI134" s="1"/>
  <c r="AI127" s="1"/>
  <c r="AI128" s="1"/>
  <c r="AJ129"/>
  <c r="AJ134" s="1"/>
  <c r="AJ127" s="1"/>
  <c r="AJ128" s="1"/>
  <c r="AK129"/>
  <c r="AK134" s="1"/>
  <c r="AK127" s="1"/>
  <c r="AK128" s="1"/>
  <c r="AL129"/>
  <c r="AL134" s="1"/>
  <c r="AL127" s="1"/>
  <c r="AL128" s="1"/>
  <c r="AM129"/>
  <c r="AM134" s="1"/>
  <c r="AM127" s="1"/>
  <c r="AM128" s="1"/>
  <c r="AN129"/>
  <c r="AN134" s="1"/>
  <c r="AN127" s="1"/>
  <c r="AN128" s="1"/>
  <c r="AR129"/>
  <c r="AR134" s="1"/>
  <c r="AR127" s="1"/>
  <c r="AR128" s="1"/>
  <c r="AS129"/>
  <c r="AS134" s="1"/>
  <c r="AS127" s="1"/>
  <c r="AS128" s="1"/>
  <c r="AT129"/>
  <c r="AT134" s="1"/>
  <c r="AT127" s="1"/>
  <c r="AT128" s="1"/>
  <c r="AU129"/>
  <c r="AU134" s="1"/>
  <c r="AU127" s="1"/>
  <c r="AU128" s="1"/>
  <c r="AV129"/>
  <c r="AV134" s="1"/>
  <c r="AV127" s="1"/>
  <c r="AV128" s="1"/>
  <c r="AG117"/>
  <c r="AG123" s="1"/>
  <c r="AG115" s="1"/>
  <c r="AG116" s="1"/>
  <c r="AH117"/>
  <c r="AH123" s="1"/>
  <c r="AH115" s="1"/>
  <c r="AH116" s="1"/>
  <c r="AI117"/>
  <c r="AI123" s="1"/>
  <c r="AI115" s="1"/>
  <c r="AI116" s="1"/>
  <c r="AJ117"/>
  <c r="AJ123" s="1"/>
  <c r="AJ115" s="1"/>
  <c r="AJ116" s="1"/>
  <c r="AK117"/>
  <c r="AK123" s="1"/>
  <c r="AK115" s="1"/>
  <c r="AK116" s="1"/>
  <c r="AL117"/>
  <c r="AL123" s="1"/>
  <c r="AL115" s="1"/>
  <c r="AL116" s="1"/>
  <c r="AM117"/>
  <c r="AM123" s="1"/>
  <c r="AM115" s="1"/>
  <c r="AM116" s="1"/>
  <c r="AN117"/>
  <c r="AN123" s="1"/>
  <c r="AN115" s="1"/>
  <c r="AN116" s="1"/>
  <c r="AR117"/>
  <c r="AR123" s="1"/>
  <c r="AR115" s="1"/>
  <c r="AR116" s="1"/>
  <c r="AS117"/>
  <c r="AS123" s="1"/>
  <c r="AS115" s="1"/>
  <c r="AS116" s="1"/>
  <c r="AT117"/>
  <c r="AT123" s="1"/>
  <c r="AT115" s="1"/>
  <c r="AT116" s="1"/>
  <c r="AU117"/>
  <c r="AU123" s="1"/>
  <c r="AU115" s="1"/>
  <c r="AU116" s="1"/>
  <c r="AV117"/>
  <c r="AV123" s="1"/>
  <c r="AV115" s="1"/>
  <c r="AV116" s="1"/>
  <c r="AG94"/>
  <c r="AG99" s="1"/>
  <c r="AG92" s="1"/>
  <c r="AG93" s="1"/>
  <c r="AH94"/>
  <c r="AH99" s="1"/>
  <c r="AH92" s="1"/>
  <c r="AH93" s="1"/>
  <c r="AI94"/>
  <c r="AI99" s="1"/>
  <c r="AI92" s="1"/>
  <c r="AI93" s="1"/>
  <c r="AJ94"/>
  <c r="AJ99" s="1"/>
  <c r="AJ92" s="1"/>
  <c r="AJ93" s="1"/>
  <c r="AK94"/>
  <c r="AK99" s="1"/>
  <c r="AK92" s="1"/>
  <c r="AK93" s="1"/>
  <c r="AL94"/>
  <c r="AL99" s="1"/>
  <c r="AL92" s="1"/>
  <c r="AL93" s="1"/>
  <c r="AM94"/>
  <c r="AM99" s="1"/>
  <c r="AM92" s="1"/>
  <c r="AM93" s="1"/>
  <c r="AN94"/>
  <c r="AN99" s="1"/>
  <c r="AN92" s="1"/>
  <c r="AN93" s="1"/>
  <c r="AR94"/>
  <c r="AR99" s="1"/>
  <c r="AR92" s="1"/>
  <c r="AR93" s="1"/>
  <c r="AS94"/>
  <c r="AS99" s="1"/>
  <c r="AS92" s="1"/>
  <c r="AS93" s="1"/>
  <c r="AT94"/>
  <c r="AT99" s="1"/>
  <c r="AT92" s="1"/>
  <c r="AT93" s="1"/>
  <c r="AU94"/>
  <c r="AU99" s="1"/>
  <c r="AU92" s="1"/>
  <c r="AU93" s="1"/>
  <c r="AV94"/>
  <c r="AV99" s="1"/>
  <c r="AV92" s="1"/>
  <c r="AV93" s="1"/>
  <c r="AG71"/>
  <c r="AH71"/>
  <c r="AH76" s="1"/>
  <c r="AH69" s="1"/>
  <c r="AH70" s="1"/>
  <c r="AI71"/>
  <c r="AI76" s="1"/>
  <c r="AI69" s="1"/>
  <c r="AI70" s="1"/>
  <c r="AJ71"/>
  <c r="AJ76" s="1"/>
  <c r="AJ69" s="1"/>
  <c r="AJ70" s="1"/>
  <c r="AK71"/>
  <c r="AK76" s="1"/>
  <c r="AK69" s="1"/>
  <c r="AK70" s="1"/>
  <c r="AL71"/>
  <c r="AL76" s="1"/>
  <c r="AL69" s="1"/>
  <c r="AL70" s="1"/>
  <c r="AM71"/>
  <c r="AM76" s="1"/>
  <c r="AM69" s="1"/>
  <c r="AM70" s="1"/>
  <c r="AN71"/>
  <c r="AN76" s="1"/>
  <c r="AN69" s="1"/>
  <c r="AN70" s="1"/>
  <c r="AR71"/>
  <c r="AR76" s="1"/>
  <c r="AR69" s="1"/>
  <c r="AR70" s="1"/>
  <c r="AS71"/>
  <c r="AS76" s="1"/>
  <c r="AS69" s="1"/>
  <c r="AS70" s="1"/>
  <c r="AT71"/>
  <c r="AT76" s="1"/>
  <c r="AT69" s="1"/>
  <c r="AT70" s="1"/>
  <c r="AU71"/>
  <c r="AU76" s="1"/>
  <c r="AU69" s="1"/>
  <c r="AU70" s="1"/>
  <c r="AV71"/>
  <c r="AV76" s="1"/>
  <c r="AV69" s="1"/>
  <c r="AV70" s="1"/>
  <c r="AG59"/>
  <c r="AG64" s="1"/>
  <c r="AH59"/>
  <c r="AH64" s="1"/>
  <c r="AH33" s="1"/>
  <c r="AI59"/>
  <c r="AI64" s="1"/>
  <c r="AI57" s="1"/>
  <c r="AI58" s="1"/>
  <c r="AJ59"/>
  <c r="AJ64" s="1"/>
  <c r="AK59"/>
  <c r="AK64" s="1"/>
  <c r="AK33" s="1"/>
  <c r="AL59"/>
  <c r="AL64" s="1"/>
  <c r="AM59"/>
  <c r="AM64" s="1"/>
  <c r="AM33" s="1"/>
  <c r="AN59"/>
  <c r="AN64" s="1"/>
  <c r="AR59"/>
  <c r="AR64" s="1"/>
  <c r="AR57" s="1"/>
  <c r="AR58" s="1"/>
  <c r="AS59"/>
  <c r="AS64" s="1"/>
  <c r="AT59"/>
  <c r="AT64" s="1"/>
  <c r="AT33" s="1"/>
  <c r="AU59"/>
  <c r="AU64" s="1"/>
  <c r="AU33" s="1"/>
  <c r="AV59"/>
  <c r="AV64" s="1"/>
  <c r="AV33" s="1"/>
  <c r="AP504"/>
  <c r="AO504"/>
  <c r="AP503"/>
  <c r="AO503"/>
  <c r="AP499"/>
  <c r="AO499"/>
  <c r="AP498"/>
  <c r="AO498"/>
  <c r="AQ498" s="1"/>
  <c r="AP497"/>
  <c r="AO497"/>
  <c r="AP496"/>
  <c r="AO496"/>
  <c r="AP495"/>
  <c r="AO495"/>
  <c r="AP494"/>
  <c r="AO494"/>
  <c r="AP493"/>
  <c r="AQ493" s="1"/>
  <c r="AW493" s="1"/>
  <c r="AO493"/>
  <c r="AP492"/>
  <c r="AO492"/>
  <c r="AP491"/>
  <c r="AO491"/>
  <c r="AP490"/>
  <c r="AO490"/>
  <c r="AQ490" s="1"/>
  <c r="AW490" s="1"/>
  <c r="AP489"/>
  <c r="AO489"/>
  <c r="AP488"/>
  <c r="AO488"/>
  <c r="AP486"/>
  <c r="AO486"/>
  <c r="AP485"/>
  <c r="AO485"/>
  <c r="AQ485" s="1"/>
  <c r="AP484"/>
  <c r="AO484"/>
  <c r="AP481"/>
  <c r="AO481"/>
  <c r="AQ481" s="1"/>
  <c r="AP480"/>
  <c r="AO480"/>
  <c r="AP479"/>
  <c r="AO479"/>
  <c r="AQ479" s="1"/>
  <c r="AP478"/>
  <c r="AO478"/>
  <c r="AP476"/>
  <c r="AO476"/>
  <c r="AP475"/>
  <c r="AO475"/>
  <c r="AP474"/>
  <c r="AO474"/>
  <c r="AQ474" s="1"/>
  <c r="AP471"/>
  <c r="AP470"/>
  <c r="AO470"/>
  <c r="AQ469"/>
  <c r="AP469"/>
  <c r="AO469"/>
  <c r="AP468"/>
  <c r="AO468"/>
  <c r="AP466"/>
  <c r="AO466"/>
  <c r="AP465"/>
  <c r="AO465"/>
  <c r="AQ465" s="1"/>
  <c r="AP464"/>
  <c r="AO464"/>
  <c r="AP460"/>
  <c r="AO460"/>
  <c r="AP459"/>
  <c r="AO459"/>
  <c r="AP458"/>
  <c r="AO458"/>
  <c r="AP456"/>
  <c r="AO456"/>
  <c r="AP455"/>
  <c r="AO455"/>
  <c r="AP454"/>
  <c r="AO454"/>
  <c r="AP451"/>
  <c r="AO451"/>
  <c r="AP450"/>
  <c r="AO450"/>
  <c r="AP449"/>
  <c r="AO449"/>
  <c r="AQ449" s="1"/>
  <c r="AP447"/>
  <c r="AO447"/>
  <c r="AP446"/>
  <c r="AO446"/>
  <c r="AP445"/>
  <c r="AO445"/>
  <c r="AP442"/>
  <c r="AP441"/>
  <c r="AO441"/>
  <c r="AP440"/>
  <c r="AO440"/>
  <c r="AP439"/>
  <c r="AO439"/>
  <c r="AP438"/>
  <c r="AO438"/>
  <c r="AP436"/>
  <c r="AO436"/>
  <c r="AP435"/>
  <c r="AO435"/>
  <c r="AP432"/>
  <c r="AP431"/>
  <c r="AO431"/>
  <c r="AP417"/>
  <c r="AO417"/>
  <c r="AQ417" s="1"/>
  <c r="AP416"/>
  <c r="AO416"/>
  <c r="AP415"/>
  <c r="AO415"/>
  <c r="AP414"/>
  <c r="AO414"/>
  <c r="AP409"/>
  <c r="AO409"/>
  <c r="AQ409" s="1"/>
  <c r="AP408"/>
  <c r="AP407"/>
  <c r="AO407"/>
  <c r="AP405"/>
  <c r="AO405"/>
  <c r="AP404"/>
  <c r="AO404"/>
  <c r="AP403"/>
  <c r="AO403"/>
  <c r="AP402"/>
  <c r="AO402"/>
  <c r="AP398"/>
  <c r="AP397"/>
  <c r="AO397"/>
  <c r="AP396"/>
  <c r="AO396"/>
  <c r="AP394"/>
  <c r="AO394"/>
  <c r="AP393"/>
  <c r="AO393"/>
  <c r="AP392"/>
  <c r="AO392"/>
  <c r="AP389"/>
  <c r="AO389"/>
  <c r="AP388"/>
  <c r="AO388"/>
  <c r="AP386"/>
  <c r="AO386"/>
  <c r="AP385"/>
  <c r="AO385"/>
  <c r="AP384"/>
  <c r="AO384"/>
  <c r="AP383"/>
  <c r="AO383"/>
  <c r="AP382"/>
  <c r="AO382"/>
  <c r="AP381"/>
  <c r="AO381"/>
  <c r="AP380"/>
  <c r="AO380"/>
  <c r="AP379"/>
  <c r="AO379"/>
  <c r="AP378"/>
  <c r="AO378"/>
  <c r="AQ378" s="1"/>
  <c r="AW378" s="1"/>
  <c r="AP377"/>
  <c r="AQ377" s="1"/>
  <c r="AW377" s="1"/>
  <c r="AO377"/>
  <c r="AP376"/>
  <c r="AO376"/>
  <c r="AP375"/>
  <c r="AO375"/>
  <c r="AP374"/>
  <c r="AO374"/>
  <c r="AP373"/>
  <c r="AO373"/>
  <c r="AP372"/>
  <c r="AO372"/>
  <c r="AP371"/>
  <c r="AO371"/>
  <c r="AP370"/>
  <c r="AO370"/>
  <c r="AP369"/>
  <c r="AO369"/>
  <c r="AP368"/>
  <c r="AO368"/>
  <c r="AP367"/>
  <c r="AO367"/>
  <c r="AP366"/>
  <c r="AO366"/>
  <c r="AP365"/>
  <c r="AO365"/>
  <c r="AP364"/>
  <c r="AO364"/>
  <c r="AP363"/>
  <c r="AO363"/>
  <c r="AP362"/>
  <c r="AO362"/>
  <c r="AP361"/>
  <c r="AO361"/>
  <c r="AP360"/>
  <c r="AO360"/>
  <c r="AP359"/>
  <c r="AO359"/>
  <c r="AP358"/>
  <c r="AO358"/>
  <c r="AP357"/>
  <c r="AO357"/>
  <c r="AP356"/>
  <c r="AO356"/>
  <c r="AP355"/>
  <c r="AO355"/>
  <c r="AP354"/>
  <c r="AO354"/>
  <c r="AP353"/>
  <c r="AP21" s="1"/>
  <c r="AO353"/>
  <c r="AO21" s="1"/>
  <c r="AP352"/>
  <c r="AO352"/>
  <c r="AP349"/>
  <c r="AO349"/>
  <c r="AP348"/>
  <c r="AO348"/>
  <c r="AP347"/>
  <c r="AO347"/>
  <c r="AP344"/>
  <c r="AO344"/>
  <c r="AP343"/>
  <c r="AO343"/>
  <c r="AP342"/>
  <c r="AO342"/>
  <c r="AP341"/>
  <c r="AO341"/>
  <c r="AP339"/>
  <c r="AP338"/>
  <c r="AP337"/>
  <c r="AP336"/>
  <c r="AO336"/>
  <c r="AP335"/>
  <c r="AO335"/>
  <c r="AP334"/>
  <c r="AO334"/>
  <c r="AO331"/>
  <c r="AP330"/>
  <c r="AO330"/>
  <c r="AP329"/>
  <c r="AO329"/>
  <c r="AP328"/>
  <c r="AP327"/>
  <c r="AQ327" s="1"/>
  <c r="AO327"/>
  <c r="AP326"/>
  <c r="AO326"/>
  <c r="AP325"/>
  <c r="AO325"/>
  <c r="AP323"/>
  <c r="AO323"/>
  <c r="AP322"/>
  <c r="AO322"/>
  <c r="AP321"/>
  <c r="AO321"/>
  <c r="AP320"/>
  <c r="AO320"/>
  <c r="AP319"/>
  <c r="AO319"/>
  <c r="AP318"/>
  <c r="AO318"/>
  <c r="AP315"/>
  <c r="AO315"/>
  <c r="AP314"/>
  <c r="AO314"/>
  <c r="AP313"/>
  <c r="AO313"/>
  <c r="AP312"/>
  <c r="AO312"/>
  <c r="AQ312" s="1"/>
  <c r="AP311"/>
  <c r="AO311"/>
  <c r="AP310"/>
  <c r="AO310"/>
  <c r="AQ310" s="1"/>
  <c r="AP308"/>
  <c r="AO308"/>
  <c r="AQ308" s="1"/>
  <c r="AP307"/>
  <c r="AO307"/>
  <c r="AP306"/>
  <c r="AO306"/>
  <c r="AP303"/>
  <c r="AO303"/>
  <c r="AP302"/>
  <c r="AO302"/>
  <c r="AQ302" s="1"/>
  <c r="AP301"/>
  <c r="AO301"/>
  <c r="AP299"/>
  <c r="AO299"/>
  <c r="AP298"/>
  <c r="AO298"/>
  <c r="AP297"/>
  <c r="AO297"/>
  <c r="AP294"/>
  <c r="AO294"/>
  <c r="AP293"/>
  <c r="AO293"/>
  <c r="AQ293" s="1"/>
  <c r="AP292"/>
  <c r="AQ292" s="1"/>
  <c r="AO292"/>
  <c r="AP290"/>
  <c r="AO290"/>
  <c r="AQ290" s="1"/>
  <c r="AP289"/>
  <c r="AO289"/>
  <c r="AP288"/>
  <c r="AO288"/>
  <c r="AP285"/>
  <c r="AO285"/>
  <c r="AP284"/>
  <c r="AO284"/>
  <c r="AQ284" s="1"/>
  <c r="AP283"/>
  <c r="AO283"/>
  <c r="AP281"/>
  <c r="AO281"/>
  <c r="AP280"/>
  <c r="AO280"/>
  <c r="AO277"/>
  <c r="AP276"/>
  <c r="AO276"/>
  <c r="AP275"/>
  <c r="AO275"/>
  <c r="AP273"/>
  <c r="AO273"/>
  <c r="AP272"/>
  <c r="AO272"/>
  <c r="AP271"/>
  <c r="AO271"/>
  <c r="AP268"/>
  <c r="AO268"/>
  <c r="AQ268" s="1"/>
  <c r="AP267"/>
  <c r="AO267"/>
  <c r="AP266"/>
  <c r="AO266"/>
  <c r="AP264"/>
  <c r="AO264"/>
  <c r="AP263"/>
  <c r="AO263"/>
  <c r="AP262"/>
  <c r="AO262"/>
  <c r="AP259"/>
  <c r="AP24" s="1"/>
  <c r="AO259"/>
  <c r="AO24" s="1"/>
  <c r="AP258"/>
  <c r="AP23" s="1"/>
  <c r="AO258"/>
  <c r="AP257"/>
  <c r="AP22" s="1"/>
  <c r="AO257"/>
  <c r="AO22" s="1"/>
  <c r="AP256"/>
  <c r="AO256"/>
  <c r="AP255"/>
  <c r="AO255"/>
  <c r="AP254"/>
  <c r="AO254"/>
  <c r="AP253"/>
  <c r="AO253"/>
  <c r="AP251"/>
  <c r="AO251"/>
  <c r="AP250"/>
  <c r="AO250"/>
  <c r="AP249"/>
  <c r="AO249"/>
  <c r="AP248"/>
  <c r="AO248"/>
  <c r="AQ248" s="1"/>
  <c r="AP247"/>
  <c r="AO247"/>
  <c r="AP246"/>
  <c r="AO246"/>
  <c r="AP243"/>
  <c r="AO243"/>
  <c r="AP242"/>
  <c r="AO242"/>
  <c r="AQ242" s="1"/>
  <c r="AP241"/>
  <c r="AO241"/>
  <c r="AP240"/>
  <c r="AO240"/>
  <c r="AQ240" s="1"/>
  <c r="AP239"/>
  <c r="AO239"/>
  <c r="AP238"/>
  <c r="AO238"/>
  <c r="AP237"/>
  <c r="AO237"/>
  <c r="AP235"/>
  <c r="AO235"/>
  <c r="AP234"/>
  <c r="AP233"/>
  <c r="AO233"/>
  <c r="AP229"/>
  <c r="AO229"/>
  <c r="AP228"/>
  <c r="AO228"/>
  <c r="AP227"/>
  <c r="AO227"/>
  <c r="AP226"/>
  <c r="AO226"/>
  <c r="AQ226" s="1"/>
  <c r="AW226" s="1"/>
  <c r="AP224"/>
  <c r="AO224"/>
  <c r="AP223"/>
  <c r="AO223"/>
  <c r="AP222"/>
  <c r="AO222"/>
  <c r="AP221"/>
  <c r="AO221"/>
  <c r="AO217"/>
  <c r="AO31" s="1"/>
  <c r="AP216"/>
  <c r="AO216"/>
  <c r="AP215"/>
  <c r="AP26" s="1"/>
  <c r="AO26"/>
  <c r="AP214"/>
  <c r="AP25" s="1"/>
  <c r="AO214"/>
  <c r="AP209"/>
  <c r="AO209"/>
  <c r="AP208"/>
  <c r="AO208"/>
  <c r="AP206"/>
  <c r="AO206"/>
  <c r="AP205"/>
  <c r="AO205"/>
  <c r="AP204"/>
  <c r="AO204"/>
  <c r="AP200"/>
  <c r="AO200"/>
  <c r="AP199"/>
  <c r="AP29" s="1"/>
  <c r="AO199"/>
  <c r="AO29" s="1"/>
  <c r="AP198"/>
  <c r="AO198"/>
  <c r="AP197"/>
  <c r="AO197"/>
  <c r="AP196"/>
  <c r="AO196"/>
  <c r="AP187"/>
  <c r="AO187"/>
  <c r="AQ187" s="1"/>
  <c r="AP186"/>
  <c r="AO186"/>
  <c r="AP183"/>
  <c r="AO183"/>
  <c r="AP182"/>
  <c r="AO182"/>
  <c r="AP180"/>
  <c r="AO180"/>
  <c r="AP179"/>
  <c r="AO179"/>
  <c r="AP176"/>
  <c r="AO176"/>
  <c r="AP175"/>
  <c r="AO175"/>
  <c r="AP173"/>
  <c r="AO173"/>
  <c r="AP172"/>
  <c r="AO172"/>
  <c r="AP170"/>
  <c r="AO170"/>
  <c r="AP169"/>
  <c r="AO169"/>
  <c r="AP168"/>
  <c r="AO168"/>
  <c r="AO171" s="1"/>
  <c r="AP166"/>
  <c r="AO166"/>
  <c r="AP165"/>
  <c r="AO165"/>
  <c r="AP164"/>
  <c r="AO164"/>
  <c r="AP163"/>
  <c r="AO163"/>
  <c r="AQ163" s="1"/>
  <c r="AP159"/>
  <c r="AP28" s="1"/>
  <c r="AO159"/>
  <c r="AO28" s="1"/>
  <c r="AP158"/>
  <c r="AO158"/>
  <c r="AP157"/>
  <c r="AP27" s="1"/>
  <c r="AO157"/>
  <c r="AP156"/>
  <c r="AO156"/>
  <c r="AP155"/>
  <c r="AO155"/>
  <c r="AP154"/>
  <c r="AO154"/>
  <c r="AP151"/>
  <c r="AP153" s="1"/>
  <c r="AO151"/>
  <c r="AO153" s="1"/>
  <c r="AP150"/>
  <c r="AO150"/>
  <c r="AQ150" s="1"/>
  <c r="AP149"/>
  <c r="AO149"/>
  <c r="AP148"/>
  <c r="AO148"/>
  <c r="AP147"/>
  <c r="AO147"/>
  <c r="AP146"/>
  <c r="AO146"/>
  <c r="AP145"/>
  <c r="AO145"/>
  <c r="AP144"/>
  <c r="AO144"/>
  <c r="AP143"/>
  <c r="AO143"/>
  <c r="AP142"/>
  <c r="AO142"/>
  <c r="AQ142" s="1"/>
  <c r="AW142" s="1"/>
  <c r="AP141"/>
  <c r="AO141"/>
  <c r="AP140"/>
  <c r="AO140"/>
  <c r="AQ140" s="1"/>
  <c r="AW140" s="1"/>
  <c r="AP139"/>
  <c r="AO139"/>
  <c r="AP138"/>
  <c r="AO138"/>
  <c r="AQ138" s="1"/>
  <c r="AW138" s="1"/>
  <c r="AQ137"/>
  <c r="AW137" s="1"/>
  <c r="AP137"/>
  <c r="AO137"/>
  <c r="AP136"/>
  <c r="AO136"/>
  <c r="AP135"/>
  <c r="AO135"/>
  <c r="AP133"/>
  <c r="AP132"/>
  <c r="AO132"/>
  <c r="AP131"/>
  <c r="AO131"/>
  <c r="AQ131" s="1"/>
  <c r="AQ130"/>
  <c r="AP130"/>
  <c r="AP129" s="1"/>
  <c r="AO130"/>
  <c r="AP126"/>
  <c r="AO126"/>
  <c r="AP125"/>
  <c r="AO125"/>
  <c r="AP124"/>
  <c r="AO124"/>
  <c r="AP122"/>
  <c r="AO122"/>
  <c r="AP121"/>
  <c r="AO121"/>
  <c r="AP120"/>
  <c r="AO120"/>
  <c r="AP119"/>
  <c r="AO119"/>
  <c r="AP118"/>
  <c r="AO118"/>
  <c r="AP114"/>
  <c r="AQ114" s="1"/>
  <c r="AO114"/>
  <c r="AP113"/>
  <c r="AO113"/>
  <c r="AP112"/>
  <c r="AO112"/>
  <c r="AP111"/>
  <c r="AO111"/>
  <c r="AP110"/>
  <c r="AO110"/>
  <c r="AP109"/>
  <c r="AP108"/>
  <c r="AO108"/>
  <c r="AP107"/>
  <c r="AO107"/>
  <c r="AP106"/>
  <c r="AO106"/>
  <c r="AP105"/>
  <c r="AO105"/>
  <c r="AP104"/>
  <c r="AO104"/>
  <c r="AP103"/>
  <c r="AO103"/>
  <c r="AP102"/>
  <c r="AO102"/>
  <c r="AQ102" s="1"/>
  <c r="AW102" s="1"/>
  <c r="AP98"/>
  <c r="AO98"/>
  <c r="AP97"/>
  <c r="AO97"/>
  <c r="AP96"/>
  <c r="AO96"/>
  <c r="AP95"/>
  <c r="AO95"/>
  <c r="AP91"/>
  <c r="AO91"/>
  <c r="AP90"/>
  <c r="AO90"/>
  <c r="AQ90" s="1"/>
  <c r="AP89"/>
  <c r="AO89"/>
  <c r="AP88"/>
  <c r="AO88"/>
  <c r="AP87"/>
  <c r="AO87"/>
  <c r="AP86"/>
  <c r="AO86"/>
  <c r="AP85"/>
  <c r="AO85"/>
  <c r="AP84"/>
  <c r="AO84"/>
  <c r="AP83"/>
  <c r="AO83"/>
  <c r="AP82"/>
  <c r="AO82"/>
  <c r="AQ82" s="1"/>
  <c r="AW82" s="1"/>
  <c r="AP81"/>
  <c r="AO81"/>
  <c r="AP80"/>
  <c r="AO80"/>
  <c r="AQ80" s="1"/>
  <c r="AW80" s="1"/>
  <c r="AP79"/>
  <c r="AP12" s="1"/>
  <c r="AO79"/>
  <c r="AP78"/>
  <c r="AO78"/>
  <c r="AO11" s="1"/>
  <c r="AP77"/>
  <c r="AQ77" s="1"/>
  <c r="AW77" s="1"/>
  <c r="AO77"/>
  <c r="AP75"/>
  <c r="AP74"/>
  <c r="AO74"/>
  <c r="AP73"/>
  <c r="AO73"/>
  <c r="AQ73" s="1"/>
  <c r="AP72"/>
  <c r="AO72"/>
  <c r="AP68"/>
  <c r="AP67"/>
  <c r="AO67"/>
  <c r="AP66"/>
  <c r="AO66"/>
  <c r="AP65"/>
  <c r="AO65"/>
  <c r="AO34" s="1"/>
  <c r="AP63"/>
  <c r="AP62"/>
  <c r="AO62"/>
  <c r="AP61"/>
  <c r="AO61"/>
  <c r="AP60"/>
  <c r="AO60"/>
  <c r="AP56"/>
  <c r="AO56"/>
  <c r="AP55"/>
  <c r="AO55"/>
  <c r="AP54"/>
  <c r="AO54"/>
  <c r="AV5"/>
  <c r="AV6"/>
  <c r="AV7"/>
  <c r="AV8"/>
  <c r="AV9"/>
  <c r="AV10"/>
  <c r="AV11"/>
  <c r="AV12"/>
  <c r="AV13"/>
  <c r="AV15"/>
  <c r="AV16"/>
  <c r="AV17"/>
  <c r="AV18"/>
  <c r="AV19"/>
  <c r="AV20"/>
  <c r="AV21"/>
  <c r="AV22"/>
  <c r="AV23"/>
  <c r="AV24"/>
  <c r="AV25"/>
  <c r="AV26"/>
  <c r="AV27"/>
  <c r="AV28"/>
  <c r="AV29"/>
  <c r="AV30"/>
  <c r="AL33" l="1"/>
  <c r="AG399"/>
  <c r="AG400" s="1"/>
  <c r="AQ66"/>
  <c r="AP300"/>
  <c r="AP34"/>
  <c r="AP457"/>
  <c r="AU433"/>
  <c r="AU434" s="1"/>
  <c r="AG57"/>
  <c r="AU231"/>
  <c r="AU232" s="1"/>
  <c r="AN230"/>
  <c r="AN231" s="1"/>
  <c r="AJ230"/>
  <c r="AJ231" s="1"/>
  <c r="AU278"/>
  <c r="AU279" s="1"/>
  <c r="AJ277"/>
  <c r="AP277" s="1"/>
  <c r="AN331"/>
  <c r="AN332" s="1"/>
  <c r="AN333" s="1"/>
  <c r="AJ331"/>
  <c r="AJ332" s="1"/>
  <c r="AJ333" s="1"/>
  <c r="AQ303"/>
  <c r="AQ356"/>
  <c r="AW356" s="1"/>
  <c r="AQ372"/>
  <c r="AW372" s="1"/>
  <c r="AQ376"/>
  <c r="AW376" s="1"/>
  <c r="AQ384"/>
  <c r="AW384" s="1"/>
  <c r="AQ393"/>
  <c r="AQ460"/>
  <c r="AU296"/>
  <c r="AS57"/>
  <c r="AS33"/>
  <c r="AH218"/>
  <c r="AV231"/>
  <c r="AV232" s="1"/>
  <c r="AR231"/>
  <c r="AR232" s="1"/>
  <c r="AV278"/>
  <c r="AV279" s="1"/>
  <c r="AQ62"/>
  <c r="AQ126"/>
  <c r="AS231"/>
  <c r="AS232" s="1"/>
  <c r="AH230"/>
  <c r="AP230" s="1"/>
  <c r="AQ230" s="1"/>
  <c r="AW230" s="1"/>
  <c r="AL278"/>
  <c r="AL279" s="1"/>
  <c r="AL277"/>
  <c r="AL332"/>
  <c r="AL333" s="1"/>
  <c r="AL331"/>
  <c r="AQ85"/>
  <c r="AW85" s="1"/>
  <c r="AQ89"/>
  <c r="AQ98"/>
  <c r="AQ143"/>
  <c r="AW143" s="1"/>
  <c r="AQ145"/>
  <c r="AW145" s="1"/>
  <c r="AQ149"/>
  <c r="AQ155"/>
  <c r="AW155" s="1"/>
  <c r="AQ164"/>
  <c r="AQ175"/>
  <c r="AQ205"/>
  <c r="AQ251"/>
  <c r="AQ256"/>
  <c r="AQ264"/>
  <c r="AQ441"/>
  <c r="AP487"/>
  <c r="AQ499"/>
  <c r="AK433"/>
  <c r="AN57"/>
  <c r="AN33"/>
  <c r="AJ57"/>
  <c r="AJ33"/>
  <c r="AT231"/>
  <c r="AT232" s="1"/>
  <c r="AT278"/>
  <c r="AT279" s="1"/>
  <c r="AH331"/>
  <c r="AQ74"/>
  <c r="AO59"/>
  <c r="AQ118"/>
  <c r="AQ125"/>
  <c r="AP162"/>
  <c r="AP203"/>
  <c r="AP207" s="1"/>
  <c r="AP202" s="1"/>
  <c r="AP201" s="1"/>
  <c r="AQ361"/>
  <c r="AW361" s="1"/>
  <c r="AQ381"/>
  <c r="AW381" s="1"/>
  <c r="AQ445"/>
  <c r="AQ450"/>
  <c r="AR33"/>
  <c r="AI295"/>
  <c r="AS399"/>
  <c r="AS400" s="1"/>
  <c r="AV443"/>
  <c r="AV444" s="1"/>
  <c r="AQ223"/>
  <c r="AR410"/>
  <c r="AR411" s="1"/>
  <c r="AR412" s="1"/>
  <c r="AR184"/>
  <c r="AK410"/>
  <c r="AK184"/>
  <c r="AK185" s="1"/>
  <c r="AQ91"/>
  <c r="AQ96"/>
  <c r="AQ197"/>
  <c r="AQ436"/>
  <c r="AO487"/>
  <c r="AO482" s="1"/>
  <c r="AO483" s="1"/>
  <c r="AJ296"/>
  <c r="AH433"/>
  <c r="AH434" s="1"/>
  <c r="AT433"/>
  <c r="AT434" s="1"/>
  <c r="AN472"/>
  <c r="AN473" s="1"/>
  <c r="AJ472"/>
  <c r="AJ473" s="1"/>
  <c r="AO471"/>
  <c r="AT57"/>
  <c r="AL410"/>
  <c r="AL184"/>
  <c r="AL185" s="1"/>
  <c r="AH410"/>
  <c r="AH184"/>
  <c r="AG245"/>
  <c r="AO244"/>
  <c r="AP94"/>
  <c r="AP99" s="1"/>
  <c r="AP92" s="1"/>
  <c r="AP93" s="1"/>
  <c r="AQ180"/>
  <c r="AP188"/>
  <c r="AQ320"/>
  <c r="AQ344"/>
  <c r="AQ348"/>
  <c r="AQ459"/>
  <c r="AO467"/>
  <c r="AQ468"/>
  <c r="AQ470"/>
  <c r="AJ501"/>
  <c r="AJ502" s="1"/>
  <c r="AN501"/>
  <c r="AU57"/>
  <c r="AM410"/>
  <c r="AM411" s="1"/>
  <c r="AM412" s="1"/>
  <c r="AM184"/>
  <c r="AM185" s="1"/>
  <c r="AH245"/>
  <c r="AP244"/>
  <c r="AQ67"/>
  <c r="AQ110"/>
  <c r="AW110" s="1"/>
  <c r="AQ112"/>
  <c r="AQ156"/>
  <c r="AW156" s="1"/>
  <c r="AP181"/>
  <c r="AQ214"/>
  <c r="AQ25" s="1"/>
  <c r="AQ243"/>
  <c r="AQ311"/>
  <c r="AQ315"/>
  <c r="AQ319"/>
  <c r="AS390"/>
  <c r="AJ410"/>
  <c r="AV433"/>
  <c r="AV434" s="1"/>
  <c r="AV57"/>
  <c r="AV32" s="1"/>
  <c r="AV35" s="1"/>
  <c r="AN410"/>
  <c r="AN184"/>
  <c r="AN185" s="1"/>
  <c r="AQ105"/>
  <c r="AQ263"/>
  <c r="AP18"/>
  <c r="AQ365"/>
  <c r="AW365" s="1"/>
  <c r="AQ369"/>
  <c r="AW369" s="1"/>
  <c r="AQ438"/>
  <c r="AW438" s="1"/>
  <c r="AN399"/>
  <c r="AN400" s="1"/>
  <c r="AJ399"/>
  <c r="AQ222"/>
  <c r="AN217"/>
  <c r="AN31" s="1"/>
  <c r="AL217"/>
  <c r="AL31" s="1"/>
  <c r="AH219"/>
  <c r="AJ218"/>
  <c r="AJ219" s="1"/>
  <c r="AR433"/>
  <c r="AR443"/>
  <c r="AR444" s="1"/>
  <c r="AQ307"/>
  <c r="AQ396"/>
  <c r="AO181"/>
  <c r="AQ179"/>
  <c r="AO398"/>
  <c r="AQ398" s="1"/>
  <c r="AU399"/>
  <c r="AU400" s="1"/>
  <c r="AL399"/>
  <c r="AL400" s="1"/>
  <c r="AH399"/>
  <c r="AH400" s="1"/>
  <c r="AI410"/>
  <c r="AI184"/>
  <c r="AG410"/>
  <c r="AG184"/>
  <c r="AQ200"/>
  <c r="AQ199"/>
  <c r="AQ29" s="1"/>
  <c r="AS202"/>
  <c r="AS201" s="1"/>
  <c r="AM202"/>
  <c r="AM201" s="1"/>
  <c r="AK278"/>
  <c r="AQ276"/>
  <c r="AI278"/>
  <c r="AR160"/>
  <c r="AG160"/>
  <c r="AQ83"/>
  <c r="AW83" s="1"/>
  <c r="AQ113"/>
  <c r="AQ146"/>
  <c r="AW146" s="1"/>
  <c r="AQ165"/>
  <c r="AQ497"/>
  <c r="AW497" s="1"/>
  <c r="AS391"/>
  <c r="AL390"/>
  <c r="AL391" s="1"/>
  <c r="AP387"/>
  <c r="AM296"/>
  <c r="AT399"/>
  <c r="AM433"/>
  <c r="AM434" s="1"/>
  <c r="AI433"/>
  <c r="AI434" s="1"/>
  <c r="AS433"/>
  <c r="AS434" s="1"/>
  <c r="AT443"/>
  <c r="AT444" s="1"/>
  <c r="AM443"/>
  <c r="AM444" s="1"/>
  <c r="AI443"/>
  <c r="AI444" s="1"/>
  <c r="AV472"/>
  <c r="AV473" s="1"/>
  <c r="AR472"/>
  <c r="AR473" s="1"/>
  <c r="AK472"/>
  <c r="AK473" s="1"/>
  <c r="AU472"/>
  <c r="AU473" s="1"/>
  <c r="AQ103"/>
  <c r="AW103" s="1"/>
  <c r="AQ124"/>
  <c r="AQ148"/>
  <c r="AW148" s="1"/>
  <c r="AQ162"/>
  <c r="AQ170"/>
  <c r="AQ176"/>
  <c r="AQ183"/>
  <c r="AQ247"/>
  <c r="AQ253"/>
  <c r="AW253" s="1"/>
  <c r="AQ267"/>
  <c r="AP59"/>
  <c r="AQ81"/>
  <c r="AW81" s="1"/>
  <c r="AQ86"/>
  <c r="AW86" s="1"/>
  <c r="AQ88"/>
  <c r="AW88" s="1"/>
  <c r="AQ106"/>
  <c r="AQ108"/>
  <c r="AQ135"/>
  <c r="AW135" s="1"/>
  <c r="AQ151"/>
  <c r="AQ153" s="1"/>
  <c r="AP167"/>
  <c r="AP174"/>
  <c r="AQ206"/>
  <c r="AQ209"/>
  <c r="AQ216"/>
  <c r="AQ224"/>
  <c r="AP236"/>
  <c r="AP231" s="1"/>
  <c r="AQ237"/>
  <c r="AQ239"/>
  <c r="AP17"/>
  <c r="AQ272"/>
  <c r="AP282"/>
  <c r="AP278" s="1"/>
  <c r="AQ285"/>
  <c r="AQ336"/>
  <c r="AQ360"/>
  <c r="AW360" s="1"/>
  <c r="AQ362"/>
  <c r="AW362" s="1"/>
  <c r="AQ389"/>
  <c r="AQ415"/>
  <c r="AP482"/>
  <c r="AP483" s="1"/>
  <c r="AQ491"/>
  <c r="AW491" s="1"/>
  <c r="AP500"/>
  <c r="AN296"/>
  <c r="AU390"/>
  <c r="AO432"/>
  <c r="AO442"/>
  <c r="AN411"/>
  <c r="AN412" s="1"/>
  <c r="AQ97"/>
  <c r="AQ119"/>
  <c r="AQ117" s="1"/>
  <c r="AQ121"/>
  <c r="AQ141"/>
  <c r="AW141" s="1"/>
  <c r="AQ198"/>
  <c r="AW198" s="1"/>
  <c r="AQ255"/>
  <c r="AQ277"/>
  <c r="AQ321"/>
  <c r="AQ326"/>
  <c r="AQ341"/>
  <c r="AW341" s="1"/>
  <c r="AQ355"/>
  <c r="AQ357"/>
  <c r="AW357" s="1"/>
  <c r="AQ359"/>
  <c r="AW359" s="1"/>
  <c r="AQ366"/>
  <c r="AW366" s="1"/>
  <c r="AQ385"/>
  <c r="AW385" s="1"/>
  <c r="AO387"/>
  <c r="AQ405"/>
  <c r="AP452"/>
  <c r="AP453" s="1"/>
  <c r="AQ486"/>
  <c r="AQ488"/>
  <c r="AW488" s="1"/>
  <c r="AQ158"/>
  <c r="AO162"/>
  <c r="AO167" s="1"/>
  <c r="AO160" s="1"/>
  <c r="AO161" s="1"/>
  <c r="AO174"/>
  <c r="AQ215"/>
  <c r="AQ26" s="1"/>
  <c r="AQ259"/>
  <c r="AQ24" s="1"/>
  <c r="AO282"/>
  <c r="AP291"/>
  <c r="AP286" s="1"/>
  <c r="AQ371"/>
  <c r="AW371" s="1"/>
  <c r="AQ373"/>
  <c r="AQ375"/>
  <c r="AW375" s="1"/>
  <c r="AQ388"/>
  <c r="AQ394"/>
  <c r="AQ397"/>
  <c r="AP413"/>
  <c r="AP418" s="1"/>
  <c r="AQ416"/>
  <c r="AQ431"/>
  <c r="AQ446"/>
  <c r="AQ466"/>
  <c r="AQ489"/>
  <c r="AW489" s="1"/>
  <c r="AQ494"/>
  <c r="AW494" s="1"/>
  <c r="AQ496"/>
  <c r="AW496" s="1"/>
  <c r="AR296"/>
  <c r="AG295"/>
  <c r="AK501"/>
  <c r="AK502" s="1"/>
  <c r="AR501"/>
  <c r="AV501"/>
  <c r="AV502" s="1"/>
  <c r="AP295"/>
  <c r="AP296"/>
  <c r="AQ54"/>
  <c r="AO9"/>
  <c r="AQ72"/>
  <c r="AQ71" s="1"/>
  <c r="AO71"/>
  <c r="AQ258"/>
  <c r="AQ23" s="1"/>
  <c r="AO23"/>
  <c r="AQ454"/>
  <c r="AO457"/>
  <c r="AO452" s="1"/>
  <c r="AO453" s="1"/>
  <c r="AQ157"/>
  <c r="AO27"/>
  <c r="AQ342"/>
  <c r="AQ347"/>
  <c r="AP350"/>
  <c r="AP345" s="1"/>
  <c r="AP346" s="1"/>
  <c r="AL295"/>
  <c r="AL296"/>
  <c r="AH463"/>
  <c r="AH462" s="1"/>
  <c r="AP461"/>
  <c r="AP463" s="1"/>
  <c r="AP462" s="1"/>
  <c r="AQ55"/>
  <c r="AO10"/>
  <c r="AQ182"/>
  <c r="AQ186"/>
  <c r="AQ188" s="1"/>
  <c r="AO188"/>
  <c r="AO25"/>
  <c r="AQ238"/>
  <c r="AQ271"/>
  <c r="AP274"/>
  <c r="AP269" s="1"/>
  <c r="AP270" s="1"/>
  <c r="AQ478"/>
  <c r="AH57"/>
  <c r="AP10"/>
  <c r="AQ87"/>
  <c r="AW87" s="1"/>
  <c r="AQ104"/>
  <c r="AQ111"/>
  <c r="AW111" s="1"/>
  <c r="AQ139"/>
  <c r="AW139" s="1"/>
  <c r="AQ144"/>
  <c r="AW144" s="1"/>
  <c r="AQ147"/>
  <c r="AW147" s="1"/>
  <c r="AQ154"/>
  <c r="AW154" s="1"/>
  <c r="AQ228"/>
  <c r="AO291"/>
  <c r="AO286" s="1"/>
  <c r="AO287" s="1"/>
  <c r="AQ298"/>
  <c r="AQ313"/>
  <c r="AQ432"/>
  <c r="AQ447"/>
  <c r="AQ492"/>
  <c r="AW492" s="1"/>
  <c r="AQ495"/>
  <c r="AW495" s="1"/>
  <c r="AO117"/>
  <c r="AO265"/>
  <c r="AO260" s="1"/>
  <c r="AO261" s="1"/>
  <c r="AG391"/>
  <c r="AV411"/>
  <c r="AV412" s="1"/>
  <c r="AQ60"/>
  <c r="AQ61"/>
  <c r="AQ78"/>
  <c r="AP117"/>
  <c r="AP123" s="1"/>
  <c r="AP115" s="1"/>
  <c r="AP116" s="1"/>
  <c r="AQ120"/>
  <c r="AQ132"/>
  <c r="AQ166"/>
  <c r="AQ167" s="1"/>
  <c r="AQ168"/>
  <c r="AQ173"/>
  <c r="AQ208"/>
  <c r="AP15"/>
  <c r="AQ235"/>
  <c r="AQ241"/>
  <c r="AP252"/>
  <c r="AQ254"/>
  <c r="AQ257"/>
  <c r="AQ22" s="1"/>
  <c r="AP265"/>
  <c r="AP260" s="1"/>
  <c r="AP261" s="1"/>
  <c r="AQ273"/>
  <c r="AQ281"/>
  <c r="AQ289"/>
  <c r="AQ299"/>
  <c r="AP324"/>
  <c r="AP316" s="1"/>
  <c r="AP317" s="1"/>
  <c r="AQ322"/>
  <c r="AQ325"/>
  <c r="AP19"/>
  <c r="AP340"/>
  <c r="AQ343"/>
  <c r="AO350"/>
  <c r="AO345" s="1"/>
  <c r="AO346" s="1"/>
  <c r="AQ352"/>
  <c r="AW352" s="1"/>
  <c r="AQ354"/>
  <c r="AQ363"/>
  <c r="AW363" s="1"/>
  <c r="AQ368"/>
  <c r="AW368" s="1"/>
  <c r="AQ370"/>
  <c r="AW370" s="1"/>
  <c r="AQ379"/>
  <c r="AW379" s="1"/>
  <c r="AQ386"/>
  <c r="AW386" s="1"/>
  <c r="AP401"/>
  <c r="AP406" s="1"/>
  <c r="AP399" s="1"/>
  <c r="AP400" s="1"/>
  <c r="AQ404"/>
  <c r="AQ407"/>
  <c r="AQ439"/>
  <c r="AO448"/>
  <c r="AO443" s="1"/>
  <c r="AO444" s="1"/>
  <c r="AQ451"/>
  <c r="AQ455"/>
  <c r="AQ458"/>
  <c r="AQ471"/>
  <c r="AQ475"/>
  <c r="AQ480"/>
  <c r="AQ504"/>
  <c r="AM391"/>
  <c r="AH390"/>
  <c r="AH391" s="1"/>
  <c r="AM390"/>
  <c r="AI390"/>
  <c r="AI391" s="1"/>
  <c r="AG443"/>
  <c r="AG444" s="1"/>
  <c r="AN502"/>
  <c r="AU501"/>
  <c r="AQ56"/>
  <c r="AO13"/>
  <c r="AQ392"/>
  <c r="AP395"/>
  <c r="AP390" s="1"/>
  <c r="AP391" s="1"/>
  <c r="AQ79"/>
  <c r="AO12"/>
  <c r="AQ95"/>
  <c r="AO94"/>
  <c r="AO99" s="1"/>
  <c r="AO92" s="1"/>
  <c r="AO93" s="1"/>
  <c r="AQ204"/>
  <c r="AQ203" s="1"/>
  <c r="AQ207" s="1"/>
  <c r="AQ202" s="1"/>
  <c r="AO203"/>
  <c r="AO207" s="1"/>
  <c r="AO202" s="1"/>
  <c r="AO201" s="1"/>
  <c r="AQ414"/>
  <c r="AO413"/>
  <c r="AO418" s="1"/>
  <c r="AK57"/>
  <c r="AK32" s="1"/>
  <c r="AK35" s="1"/>
  <c r="AM57"/>
  <c r="AM32" s="1"/>
  <c r="AM35" s="1"/>
  <c r="AH295"/>
  <c r="AH296"/>
  <c r="AQ266"/>
  <c r="AQ283"/>
  <c r="AP287"/>
  <c r="AQ297"/>
  <c r="AO300"/>
  <c r="AQ306"/>
  <c r="AO309"/>
  <c r="AO304" s="1"/>
  <c r="AO305" s="1"/>
  <c r="AQ402"/>
  <c r="AO401"/>
  <c r="AO406" s="1"/>
  <c r="AQ464"/>
  <c r="AQ467" s="1"/>
  <c r="AP467"/>
  <c r="AT295"/>
  <c r="AT296"/>
  <c r="AP20"/>
  <c r="AP64"/>
  <c r="AQ84"/>
  <c r="AW84" s="1"/>
  <c r="AQ107"/>
  <c r="AO123"/>
  <c r="AO115" s="1"/>
  <c r="AO116" s="1"/>
  <c r="AQ129"/>
  <c r="AQ136"/>
  <c r="AW136" s="1"/>
  <c r="AP160"/>
  <c r="AP161" s="1"/>
  <c r="AQ169"/>
  <c r="AQ196"/>
  <c r="AQ233"/>
  <c r="AQ250"/>
  <c r="AQ294"/>
  <c r="AQ301"/>
  <c r="AQ334"/>
  <c r="AQ349"/>
  <c r="AQ358"/>
  <c r="AW358" s="1"/>
  <c r="AQ367"/>
  <c r="AW367" s="1"/>
  <c r="AQ374"/>
  <c r="AQ383"/>
  <c r="AW383" s="1"/>
  <c r="AO395"/>
  <c r="AO390" s="1"/>
  <c r="AO391" s="1"/>
  <c r="AQ403"/>
  <c r="AP448"/>
  <c r="AP443" s="1"/>
  <c r="AP444" s="1"/>
  <c r="AQ484"/>
  <c r="AQ487" s="1"/>
  <c r="AP134"/>
  <c r="AP127" s="1"/>
  <c r="AP128" s="1"/>
  <c r="AO477"/>
  <c r="AO472" s="1"/>
  <c r="AO473" s="1"/>
  <c r="AP9"/>
  <c r="AP13"/>
  <c r="AQ65"/>
  <c r="AP71"/>
  <c r="AP76" s="1"/>
  <c r="AP69" s="1"/>
  <c r="AP70" s="1"/>
  <c r="AP11"/>
  <c r="AO129"/>
  <c r="AO134" s="1"/>
  <c r="AO127" s="1"/>
  <c r="AO128" s="1"/>
  <c r="AQ159"/>
  <c r="AQ28" s="1"/>
  <c r="AP171"/>
  <c r="AQ172"/>
  <c r="AQ174" s="1"/>
  <c r="AP30"/>
  <c r="AP220"/>
  <c r="AP225" s="1"/>
  <c r="AO15"/>
  <c r="AQ229"/>
  <c r="AQ246"/>
  <c r="AQ249"/>
  <c r="AP16"/>
  <c r="AQ262"/>
  <c r="AQ265" s="1"/>
  <c r="AO274"/>
  <c r="AO269" s="1"/>
  <c r="AO270" s="1"/>
  <c r="AQ275"/>
  <c r="AW275" s="1"/>
  <c r="AQ280"/>
  <c r="AQ288"/>
  <c r="AQ314"/>
  <c r="AQ318"/>
  <c r="AQ353"/>
  <c r="AQ21" s="1"/>
  <c r="AQ364"/>
  <c r="AW364" s="1"/>
  <c r="AQ380"/>
  <c r="AW380" s="1"/>
  <c r="AQ382"/>
  <c r="AW382" s="1"/>
  <c r="AP437"/>
  <c r="AP433" s="1"/>
  <c r="AP434" s="1"/>
  <c r="AQ440"/>
  <c r="AQ456"/>
  <c r="AP477"/>
  <c r="AP472" s="1"/>
  <c r="AP473" s="1"/>
  <c r="AQ476"/>
  <c r="AQ477" s="1"/>
  <c r="AP505"/>
  <c r="AP501" s="1"/>
  <c r="AP502" s="1"/>
  <c r="AO252"/>
  <c r="AO245" s="1"/>
  <c r="AT390"/>
  <c r="AT391" s="1"/>
  <c r="AN390"/>
  <c r="AN391" s="1"/>
  <c r="AJ390"/>
  <c r="AJ391" s="1"/>
  <c r="AI399"/>
  <c r="AI400" s="1"/>
  <c r="AS411"/>
  <c r="AS412" s="1"/>
  <c r="AU391"/>
  <c r="AJ400"/>
  <c r="AO30"/>
  <c r="AQ221"/>
  <c r="AO220"/>
  <c r="AO225" s="1"/>
  <c r="AO218" s="1"/>
  <c r="AO219" s="1"/>
  <c r="AQ435"/>
  <c r="AQ437" s="1"/>
  <c r="AO437"/>
  <c r="AO433" s="1"/>
  <c r="AO434" s="1"/>
  <c r="AQ503"/>
  <c r="AO505"/>
  <c r="AN58"/>
  <c r="AJ58"/>
  <c r="AL57"/>
  <c r="AK390"/>
  <c r="AK391" s="1"/>
  <c r="AO16"/>
  <c r="AQ387"/>
  <c r="AP309"/>
  <c r="AP304" s="1"/>
  <c r="AP305" s="1"/>
  <c r="AK411"/>
  <c r="AK412" s="1"/>
  <c r="AT400"/>
  <c r="AU411"/>
  <c r="AU412" s="1"/>
  <c r="AK434"/>
  <c r="AG433"/>
  <c r="AG434" s="1"/>
  <c r="AU502"/>
  <c r="AQ109"/>
  <c r="AS296"/>
  <c r="AK296"/>
  <c r="AT411"/>
  <c r="AT412" s="1"/>
  <c r="AL411"/>
  <c r="AL412" s="1"/>
  <c r="AH411"/>
  <c r="AH412" s="1"/>
  <c r="AJ433"/>
  <c r="AJ434" s="1"/>
  <c r="AN433"/>
  <c r="AN434" s="1"/>
  <c r="AQ63"/>
  <c r="AQ234"/>
  <c r="AK399"/>
  <c r="AK400" s="1"/>
  <c r="AR399"/>
  <c r="AR400" s="1"/>
  <c r="AV399"/>
  <c r="AV400" s="1"/>
  <c r="AG76"/>
  <c r="AG69" s="1"/>
  <c r="AG70" s="1"/>
  <c r="AQ338"/>
  <c r="AG501"/>
  <c r="AG502" s="1"/>
  <c r="AQ68"/>
  <c r="AQ323"/>
  <c r="AO324"/>
  <c r="AO316" s="1"/>
  <c r="AO317" s="1"/>
  <c r="AO17"/>
  <c r="AQ227"/>
  <c r="AG236"/>
  <c r="AG231" s="1"/>
  <c r="AO236"/>
  <c r="AO231" s="1"/>
  <c r="AI340"/>
  <c r="AI332" s="1"/>
  <c r="AO339"/>
  <c r="AQ339" s="1"/>
  <c r="AG340"/>
  <c r="AG332" s="1"/>
  <c r="AO328"/>
  <c r="AO18" s="1"/>
  <c r="AO337"/>
  <c r="AQ337" s="1"/>
  <c r="AQ329"/>
  <c r="AQ330"/>
  <c r="AO20"/>
  <c r="AO19"/>
  <c r="AQ335"/>
  <c r="AO64"/>
  <c r="AO57" s="1"/>
  <c r="AO58" s="1"/>
  <c r="AO75"/>
  <c r="AQ133"/>
  <c r="AG134"/>
  <c r="AG127" s="1"/>
  <c r="AG128" s="1"/>
  <c r="AQ122"/>
  <c r="AR502"/>
  <c r="AO500"/>
  <c r="AQ500" s="1"/>
  <c r="AG472"/>
  <c r="AG473" s="1"/>
  <c r="AO461"/>
  <c r="AQ442"/>
  <c r="AR434"/>
  <c r="AP410" l="1"/>
  <c r="AG58"/>
  <c r="AG32"/>
  <c r="AQ171"/>
  <c r="AH231"/>
  <c r="AH232" s="1"/>
  <c r="AI33"/>
  <c r="AN232"/>
  <c r="AO278"/>
  <c r="AO279" s="1"/>
  <c r="AH332"/>
  <c r="AH333" s="1"/>
  <c r="AP331"/>
  <c r="AQ331" s="1"/>
  <c r="AH31"/>
  <c r="AG33"/>
  <c r="AG35" s="1"/>
  <c r="AP57"/>
  <c r="AP33"/>
  <c r="AS58"/>
  <c r="AS32"/>
  <c r="AQ34"/>
  <c r="AJ411"/>
  <c r="AJ412" s="1"/>
  <c r="AU32"/>
  <c r="AJ31"/>
  <c r="AJ278"/>
  <c r="AJ279" s="1"/>
  <c r="AJ232"/>
  <c r="AH58"/>
  <c r="AH32"/>
  <c r="AT32"/>
  <c r="AR185"/>
  <c r="AR32"/>
  <c r="AI185"/>
  <c r="AI32"/>
  <c r="AI35" s="1"/>
  <c r="AN218"/>
  <c r="AN219" s="1"/>
  <c r="AO232"/>
  <c r="AG232"/>
  <c r="AP232"/>
  <c r="AP184"/>
  <c r="AP185" s="1"/>
  <c r="AH185"/>
  <c r="AQ17"/>
  <c r="AQ236"/>
  <c r="AO501"/>
  <c r="AO502" s="1"/>
  <c r="AQ413"/>
  <c r="AQ94"/>
  <c r="AQ99" s="1"/>
  <c r="AQ92" s="1"/>
  <c r="AQ93" s="1"/>
  <c r="AQ395"/>
  <c r="AP245"/>
  <c r="AP411"/>
  <c r="AP412" s="1"/>
  <c r="AQ181"/>
  <c r="AQ244"/>
  <c r="AV58"/>
  <c r="AU58"/>
  <c r="AT58"/>
  <c r="AQ390"/>
  <c r="AQ391" s="1"/>
  <c r="AQ505"/>
  <c r="AQ501" s="1"/>
  <c r="AQ502" s="1"/>
  <c r="AQ433"/>
  <c r="AQ434" s="1"/>
  <c r="AO410"/>
  <c r="AQ410" s="1"/>
  <c r="AQ220"/>
  <c r="AQ225" s="1"/>
  <c r="AL218"/>
  <c r="AL219" s="1"/>
  <c r="AP217"/>
  <c r="AP31" s="1"/>
  <c r="AQ448"/>
  <c r="AQ443" s="1"/>
  <c r="AQ444" s="1"/>
  <c r="AQ291"/>
  <c r="AQ286" s="1"/>
  <c r="AQ287" s="1"/>
  <c r="AQ472"/>
  <c r="AQ473" s="1"/>
  <c r="AQ309"/>
  <c r="AQ304" s="1"/>
  <c r="AQ305" s="1"/>
  <c r="AO399"/>
  <c r="AO400" s="1"/>
  <c r="AO178"/>
  <c r="AO177"/>
  <c r="AQ418"/>
  <c r="AI411"/>
  <c r="AI412" s="1"/>
  <c r="AG185"/>
  <c r="AO184"/>
  <c r="AQ201"/>
  <c r="AK279"/>
  <c r="AI279"/>
  <c r="AQ282"/>
  <c r="AH279"/>
  <c r="AR161"/>
  <c r="AG161"/>
  <c r="AQ160"/>
  <c r="AQ161" s="1"/>
  <c r="AQ30"/>
  <c r="AQ13"/>
  <c r="AQ134"/>
  <c r="AQ127" s="1"/>
  <c r="AQ128" s="1"/>
  <c r="AQ16"/>
  <c r="AQ10"/>
  <c r="AQ12"/>
  <c r="AW79"/>
  <c r="AK58"/>
  <c r="AQ27"/>
  <c r="AP332"/>
  <c r="AP333" s="1"/>
  <c r="AQ260"/>
  <c r="AQ261" s="1"/>
  <c r="AQ59"/>
  <c r="AQ64" s="1"/>
  <c r="AQ57" s="1"/>
  <c r="AQ58" s="1"/>
  <c r="AQ350"/>
  <c r="AQ345" s="1"/>
  <c r="AQ9"/>
  <c r="AW65"/>
  <c r="AQ252"/>
  <c r="AQ245" s="1"/>
  <c r="AQ401"/>
  <c r="AQ406" s="1"/>
  <c r="AQ399" s="1"/>
  <c r="AQ400" s="1"/>
  <c r="AQ300"/>
  <c r="AL58"/>
  <c r="AO296"/>
  <c r="AO295"/>
  <c r="AM58"/>
  <c r="AQ11"/>
  <c r="AW78"/>
  <c r="AO340"/>
  <c r="AO332" s="1"/>
  <c r="AQ482"/>
  <c r="AQ483" s="1"/>
  <c r="AQ274"/>
  <c r="AQ269" s="1"/>
  <c r="AQ270" s="1"/>
  <c r="AQ346"/>
  <c r="AQ457"/>
  <c r="AQ452" s="1"/>
  <c r="AQ453" s="1"/>
  <c r="AQ324"/>
  <c r="AQ316" s="1"/>
  <c r="AQ317" s="1"/>
  <c r="AQ15"/>
  <c r="AQ328"/>
  <c r="AQ18" s="1"/>
  <c r="AI333"/>
  <c r="AG333"/>
  <c r="AQ20"/>
  <c r="AQ19"/>
  <c r="AQ340"/>
  <c r="AQ75"/>
  <c r="AO76"/>
  <c r="AO69" s="1"/>
  <c r="AO70" s="1"/>
  <c r="AQ123"/>
  <c r="AQ115" s="1"/>
  <c r="AQ116" s="1"/>
  <c r="AQ461"/>
  <c r="AO463"/>
  <c r="AO462" s="1"/>
  <c r="AE500"/>
  <c r="AE505"/>
  <c r="AJ35" l="1"/>
  <c r="AJ32"/>
  <c r="AQ279"/>
  <c r="AQ278"/>
  <c r="AH35"/>
  <c r="AQ232"/>
  <c r="AQ231"/>
  <c r="AP58"/>
  <c r="AL32"/>
  <c r="AL35" s="1"/>
  <c r="AO33"/>
  <c r="AO35" s="1"/>
  <c r="AN32"/>
  <c r="AN35" s="1"/>
  <c r="AO32"/>
  <c r="AQ217"/>
  <c r="AQ31" s="1"/>
  <c r="AP218"/>
  <c r="AP219" s="1"/>
  <c r="AP178"/>
  <c r="AQ178" s="1"/>
  <c r="AP177"/>
  <c r="AQ177" s="1"/>
  <c r="AQ184"/>
  <c r="AO185"/>
  <c r="AP279"/>
  <c r="AQ296"/>
  <c r="AQ295"/>
  <c r="AO333"/>
  <c r="AQ332"/>
  <c r="AQ76"/>
  <c r="AQ69" s="1"/>
  <c r="AQ70" s="1"/>
  <c r="AQ463"/>
  <c r="AQ462" s="1"/>
  <c r="AE501"/>
  <c r="AE502" s="1"/>
  <c r="AE465"/>
  <c r="AE298"/>
  <c r="AE461" s="1"/>
  <c r="AE463" s="1"/>
  <c r="AE462" s="1"/>
  <c r="AE487"/>
  <c r="AE482" s="1"/>
  <c r="AE483" s="1"/>
  <c r="AE477"/>
  <c r="AE471"/>
  <c r="AE464"/>
  <c r="W461"/>
  <c r="AE457"/>
  <c r="AE452" s="1"/>
  <c r="AE453" s="1"/>
  <c r="AE442"/>
  <c r="AE437"/>
  <c r="AC411"/>
  <c r="AB411"/>
  <c r="AA411"/>
  <c r="AF409"/>
  <c r="AD409"/>
  <c r="AE413"/>
  <c r="AE418" s="1"/>
  <c r="AE401"/>
  <c r="AE406" s="1"/>
  <c r="AE389"/>
  <c r="AE388"/>
  <c r="AE394"/>
  <c r="AE393"/>
  <c r="AE392"/>
  <c r="AE354"/>
  <c r="AE330"/>
  <c r="AE20" s="1"/>
  <c r="AE350"/>
  <c r="AE345" s="1"/>
  <c r="AE346" s="1"/>
  <c r="AF331"/>
  <c r="AW331" s="1"/>
  <c r="AE340"/>
  <c r="AF323"/>
  <c r="AW323" s="1"/>
  <c r="AF322"/>
  <c r="AW322" s="1"/>
  <c r="AF321"/>
  <c r="AW321" s="1"/>
  <c r="AF315"/>
  <c r="AW315" s="1"/>
  <c r="AF314"/>
  <c r="AW314" s="1"/>
  <c r="AF313"/>
  <c r="AW313" s="1"/>
  <c r="AE324"/>
  <c r="AE316" s="1"/>
  <c r="AE317" s="1"/>
  <c r="AE309"/>
  <c r="AE304" s="1"/>
  <c r="AE305" s="1"/>
  <c r="AE291"/>
  <c r="AE286" s="1"/>
  <c r="AE287" s="1"/>
  <c r="AE276"/>
  <c r="AE273"/>
  <c r="AE274" s="1"/>
  <c r="AF277"/>
  <c r="AW277" s="1"/>
  <c r="AE282"/>
  <c r="AE278" s="1"/>
  <c r="AE279" s="1"/>
  <c r="AE268"/>
  <c r="AE17" s="1"/>
  <c r="AE266"/>
  <c r="AE265"/>
  <c r="AE260" s="1"/>
  <c r="AE261" s="1"/>
  <c r="AF251"/>
  <c r="AW251" s="1"/>
  <c r="AF250"/>
  <c r="AW250" s="1"/>
  <c r="AF249"/>
  <c r="AW249" s="1"/>
  <c r="AF243"/>
  <c r="AW243" s="1"/>
  <c r="AF242"/>
  <c r="AW242" s="1"/>
  <c r="AF241"/>
  <c r="AW241" s="1"/>
  <c r="AE236"/>
  <c r="AE231" s="1"/>
  <c r="AE232" s="1"/>
  <c r="AF237"/>
  <c r="AF34" s="1"/>
  <c r="AE252"/>
  <c r="AE244" s="1"/>
  <c r="AE245" s="1"/>
  <c r="AF217"/>
  <c r="AF31" s="1"/>
  <c r="AE220"/>
  <c r="AE225" s="1"/>
  <c r="AE218" s="1"/>
  <c r="AE219" s="1"/>
  <c r="AU28"/>
  <c r="AT28"/>
  <c r="AS28"/>
  <c r="AR28"/>
  <c r="AE28"/>
  <c r="AC28"/>
  <c r="AB28"/>
  <c r="AA28"/>
  <c r="Z28"/>
  <c r="Y28"/>
  <c r="X28"/>
  <c r="W28"/>
  <c r="V28"/>
  <c r="AF159"/>
  <c r="AC160"/>
  <c r="AB160"/>
  <c r="AA160"/>
  <c r="AD159"/>
  <c r="AE205"/>
  <c r="AF205" s="1"/>
  <c r="AW205" s="1"/>
  <c r="AE204"/>
  <c r="AF204" s="1"/>
  <c r="AW204" s="1"/>
  <c r="AF206"/>
  <c r="AW206" s="1"/>
  <c r="AF200"/>
  <c r="AW200" s="1"/>
  <c r="AF199"/>
  <c r="AE186"/>
  <c r="AE187"/>
  <c r="AE173"/>
  <c r="AE185"/>
  <c r="AE181"/>
  <c r="AE398" s="1"/>
  <c r="AE178"/>
  <c r="AE171"/>
  <c r="AD170"/>
  <c r="AF157"/>
  <c r="AW157" s="1"/>
  <c r="AE162"/>
  <c r="AE167" s="1"/>
  <c r="AE160" s="1"/>
  <c r="AE161" s="1"/>
  <c r="AE129"/>
  <c r="AE134" s="1"/>
  <c r="AE127" s="1"/>
  <c r="AE128" s="1"/>
  <c r="AE117"/>
  <c r="AE123" s="1"/>
  <c r="AE115" s="1"/>
  <c r="AE30"/>
  <c r="AE29"/>
  <c r="AF27"/>
  <c r="AE27"/>
  <c r="AE26"/>
  <c r="AE25"/>
  <c r="AE24"/>
  <c r="AE23"/>
  <c r="AE22"/>
  <c r="AE21"/>
  <c r="AE19"/>
  <c r="AE18"/>
  <c r="AE16"/>
  <c r="AE13"/>
  <c r="AE12"/>
  <c r="AE11"/>
  <c r="AE10"/>
  <c r="AE9"/>
  <c r="AF8"/>
  <c r="AE8"/>
  <c r="AF7"/>
  <c r="AE7"/>
  <c r="AF6"/>
  <c r="AE6"/>
  <c r="AF5"/>
  <c r="AE5"/>
  <c r="AE94"/>
  <c r="AE99" s="1"/>
  <c r="AE92" s="1"/>
  <c r="AE93" s="1"/>
  <c r="AE71"/>
  <c r="AE76" s="1"/>
  <c r="AE69" s="1"/>
  <c r="AE70" s="1"/>
  <c r="AE59"/>
  <c r="AE64" s="1"/>
  <c r="AC34"/>
  <c r="AB34"/>
  <c r="AA34"/>
  <c r="Z34"/>
  <c r="Y34"/>
  <c r="X34"/>
  <c r="W34"/>
  <c r="AA31"/>
  <c r="Z31"/>
  <c r="Y31"/>
  <c r="X31"/>
  <c r="W31"/>
  <c r="V31"/>
  <c r="AC277"/>
  <c r="AB277"/>
  <c r="AB331"/>
  <c r="AC331"/>
  <c r="AC276"/>
  <c r="Z487"/>
  <c r="Y487"/>
  <c r="U487"/>
  <c r="S487"/>
  <c r="R487"/>
  <c r="Q487"/>
  <c r="N487"/>
  <c r="L487"/>
  <c r="K487"/>
  <c r="J487"/>
  <c r="I487"/>
  <c r="H487"/>
  <c r="AD486"/>
  <c r="T486"/>
  <c r="O486"/>
  <c r="V486" s="1"/>
  <c r="AF486" s="1"/>
  <c r="AW486" s="1"/>
  <c r="M486"/>
  <c r="M487" s="1"/>
  <c r="W487"/>
  <c r="W482" s="1"/>
  <c r="W483" s="1"/>
  <c r="O485"/>
  <c r="V485" s="1"/>
  <c r="AF485" s="1"/>
  <c r="AW485" s="1"/>
  <c r="AD484"/>
  <c r="T484"/>
  <c r="O484"/>
  <c r="S483"/>
  <c r="S482" s="1"/>
  <c r="R483"/>
  <c r="R482" s="1"/>
  <c r="Q483"/>
  <c r="Q482" s="1"/>
  <c r="U481"/>
  <c r="U483" s="1"/>
  <c r="U482" s="1"/>
  <c r="P481"/>
  <c r="T481" s="1"/>
  <c r="N481"/>
  <c r="N483" s="1"/>
  <c r="N482" s="1"/>
  <c r="J481"/>
  <c r="J483" s="1"/>
  <c r="J482" s="1"/>
  <c r="I481"/>
  <c r="I483" s="1"/>
  <c r="I482" s="1"/>
  <c r="H481"/>
  <c r="H483" s="1"/>
  <c r="H482" s="1"/>
  <c r="AD480"/>
  <c r="T480"/>
  <c r="O480"/>
  <c r="V480" s="1"/>
  <c r="AF480" s="1"/>
  <c r="AW480" s="1"/>
  <c r="M480"/>
  <c r="AD479"/>
  <c r="T479"/>
  <c r="O479"/>
  <c r="V479" s="1"/>
  <c r="M479"/>
  <c r="AD478"/>
  <c r="T478"/>
  <c r="O478"/>
  <c r="V478" s="1"/>
  <c r="AF478" s="1"/>
  <c r="M478"/>
  <c r="W475"/>
  <c r="Z337"/>
  <c r="AC339"/>
  <c r="AC338"/>
  <c r="AC337"/>
  <c r="AC336"/>
  <c r="AB336"/>
  <c r="AC335"/>
  <c r="AB335"/>
  <c r="AC334"/>
  <c r="AB334"/>
  <c r="AC330"/>
  <c r="AB330"/>
  <c r="AC329"/>
  <c r="AB329"/>
  <c r="AC328"/>
  <c r="AB328"/>
  <c r="AC327"/>
  <c r="AB327"/>
  <c r="AC326"/>
  <c r="AB326"/>
  <c r="AC325"/>
  <c r="AB325"/>
  <c r="AA340"/>
  <c r="AC281"/>
  <c r="AC280"/>
  <c r="AB280"/>
  <c r="AB276"/>
  <c r="AA282"/>
  <c r="AD217"/>
  <c r="AC224"/>
  <c r="AB224"/>
  <c r="AC223"/>
  <c r="AC222"/>
  <c r="AC221"/>
  <c r="AC216"/>
  <c r="AB216"/>
  <c r="AC215"/>
  <c r="AC214"/>
  <c r="AB214"/>
  <c r="AA220"/>
  <c r="AA225" s="1"/>
  <c r="AA218" s="1"/>
  <c r="AU30"/>
  <c r="AT30"/>
  <c r="AS30"/>
  <c r="AR30"/>
  <c r="W30"/>
  <c r="AU29"/>
  <c r="AT29"/>
  <c r="AS29"/>
  <c r="AR29"/>
  <c r="Z29"/>
  <c r="Y29"/>
  <c r="X29"/>
  <c r="W29"/>
  <c r="V29"/>
  <c r="AU27"/>
  <c r="AT27"/>
  <c r="AS27"/>
  <c r="AR27"/>
  <c r="W27"/>
  <c r="V27"/>
  <c r="AU26"/>
  <c r="AT26"/>
  <c r="AS26"/>
  <c r="AR26"/>
  <c r="Z26"/>
  <c r="X26"/>
  <c r="W26"/>
  <c r="AU25"/>
  <c r="AT25"/>
  <c r="AS25"/>
  <c r="AR25"/>
  <c r="Z25"/>
  <c r="Y25"/>
  <c r="X25"/>
  <c r="W25"/>
  <c r="AU24"/>
  <c r="AT24"/>
  <c r="AS24"/>
  <c r="AR24"/>
  <c r="Z24"/>
  <c r="Y24"/>
  <c r="X24"/>
  <c r="W24"/>
  <c r="AU23"/>
  <c r="AT23"/>
  <c r="AS23"/>
  <c r="AR23"/>
  <c r="Z23"/>
  <c r="Y23"/>
  <c r="X23"/>
  <c r="W23"/>
  <c r="AU22"/>
  <c r="AT22"/>
  <c r="AS22"/>
  <c r="AR22"/>
  <c r="Z22"/>
  <c r="Y22"/>
  <c r="X22"/>
  <c r="W22"/>
  <c r="AU21"/>
  <c r="AT21"/>
  <c r="AS21"/>
  <c r="AR21"/>
  <c r="Z21"/>
  <c r="Y21"/>
  <c r="X21"/>
  <c r="AU20"/>
  <c r="AT20"/>
  <c r="AS20"/>
  <c r="AR20"/>
  <c r="Z20"/>
  <c r="Y20"/>
  <c r="X20"/>
  <c r="W20"/>
  <c r="AU19"/>
  <c r="AT19"/>
  <c r="AS19"/>
  <c r="AR19"/>
  <c r="Z19"/>
  <c r="Y19"/>
  <c r="X19"/>
  <c r="W19"/>
  <c r="AU18"/>
  <c r="AT18"/>
  <c r="AS18"/>
  <c r="AR18"/>
  <c r="Z18"/>
  <c r="Y18"/>
  <c r="X18"/>
  <c r="W18"/>
  <c r="AU17"/>
  <c r="AT17"/>
  <c r="AS17"/>
  <c r="AR17"/>
  <c r="Z17"/>
  <c r="Y17"/>
  <c r="X17"/>
  <c r="W17"/>
  <c r="AU16"/>
  <c r="AT16"/>
  <c r="AS16"/>
  <c r="AR16"/>
  <c r="Z16"/>
  <c r="Y16"/>
  <c r="X16"/>
  <c r="W16"/>
  <c r="AU15"/>
  <c r="AT15"/>
  <c r="AS15"/>
  <c r="AR15"/>
  <c r="Z15"/>
  <c r="Y15"/>
  <c r="X15"/>
  <c r="W15"/>
  <c r="AU13"/>
  <c r="AT13"/>
  <c r="AS13"/>
  <c r="AR13"/>
  <c r="Z13"/>
  <c r="Y13"/>
  <c r="X13"/>
  <c r="W13"/>
  <c r="AU12"/>
  <c r="AT12"/>
  <c r="AS12"/>
  <c r="AR12"/>
  <c r="Z12"/>
  <c r="Y12"/>
  <c r="X12"/>
  <c r="W12"/>
  <c r="AU11"/>
  <c r="AT11"/>
  <c r="AS11"/>
  <c r="AR11"/>
  <c r="Z11"/>
  <c r="Y11"/>
  <c r="X11"/>
  <c r="W11"/>
  <c r="AU10"/>
  <c r="AT10"/>
  <c r="AS10"/>
  <c r="AR10"/>
  <c r="Z10"/>
  <c r="Y10"/>
  <c r="X10"/>
  <c r="W10"/>
  <c r="AU9"/>
  <c r="AT9"/>
  <c r="AS9"/>
  <c r="AR9"/>
  <c r="Z9"/>
  <c r="Y9"/>
  <c r="X9"/>
  <c r="W9"/>
  <c r="AW8"/>
  <c r="AU8"/>
  <c r="AT8"/>
  <c r="AS8"/>
  <c r="AR8"/>
  <c r="Z8"/>
  <c r="Y8"/>
  <c r="X8"/>
  <c r="W8"/>
  <c r="V8"/>
  <c r="AW7"/>
  <c r="AU7"/>
  <c r="AT7"/>
  <c r="AS7"/>
  <c r="AR7"/>
  <c r="Z7"/>
  <c r="Y7"/>
  <c r="X7"/>
  <c r="W7"/>
  <c r="V7"/>
  <c r="AW6"/>
  <c r="AU6"/>
  <c r="AT6"/>
  <c r="AS6"/>
  <c r="AR6"/>
  <c r="Z6"/>
  <c r="Y6"/>
  <c r="X6"/>
  <c r="W6"/>
  <c r="V6"/>
  <c r="AW5"/>
  <c r="AU5"/>
  <c r="AT5"/>
  <c r="AS5"/>
  <c r="AR5"/>
  <c r="AR35" s="1"/>
  <c r="Z5"/>
  <c r="Y5"/>
  <c r="X5"/>
  <c r="W5"/>
  <c r="V5"/>
  <c r="Y205"/>
  <c r="AD205" s="1"/>
  <c r="Y206"/>
  <c r="AD206" s="1"/>
  <c r="AZ206" s="1"/>
  <c r="AD204"/>
  <c r="AD200"/>
  <c r="AD199"/>
  <c r="W203"/>
  <c r="W207" s="1"/>
  <c r="W202" s="1"/>
  <c r="W201" s="1"/>
  <c r="X203"/>
  <c r="X207" s="1"/>
  <c r="X202" s="1"/>
  <c r="X201" s="1"/>
  <c r="Z203"/>
  <c r="Z207" s="1"/>
  <c r="Z202" s="1"/>
  <c r="Z201" s="1"/>
  <c r="V203"/>
  <c r="V207" s="1"/>
  <c r="V202" s="1"/>
  <c r="V201" s="1"/>
  <c r="W338"/>
  <c r="X338"/>
  <c r="Y338"/>
  <c r="Z338"/>
  <c r="AD313"/>
  <c r="AD314"/>
  <c r="AD315"/>
  <c r="X323"/>
  <c r="W323"/>
  <c r="X322"/>
  <c r="W322"/>
  <c r="X321"/>
  <c r="W321"/>
  <c r="Z324"/>
  <c r="Z316" s="1"/>
  <c r="Y324"/>
  <c r="Y316" s="1"/>
  <c r="W281"/>
  <c r="AB281" s="1"/>
  <c r="AD241"/>
  <c r="AD242"/>
  <c r="AD243"/>
  <c r="Z252"/>
  <c r="Z244" s="1"/>
  <c r="Y252"/>
  <c r="Y244" s="1"/>
  <c r="X252"/>
  <c r="X244" s="1"/>
  <c r="W252"/>
  <c r="W244" s="1"/>
  <c r="AD249"/>
  <c r="AD250"/>
  <c r="AD251"/>
  <c r="W173"/>
  <c r="Z405"/>
  <c r="W389"/>
  <c r="W388"/>
  <c r="AT35" l="1"/>
  <c r="AE300"/>
  <c r="AE296" s="1"/>
  <c r="AU35"/>
  <c r="AS35"/>
  <c r="AE472"/>
  <c r="X324"/>
  <c r="X316" s="1"/>
  <c r="AP32"/>
  <c r="AP35" s="1"/>
  <c r="AQ33"/>
  <c r="AE57"/>
  <c r="AB338"/>
  <c r="AQ185"/>
  <c r="AW409"/>
  <c r="AE203"/>
  <c r="AE207" s="1"/>
  <c r="AE202" s="1"/>
  <c r="AE201" s="1"/>
  <c r="AD322"/>
  <c r="AQ218"/>
  <c r="AQ219" s="1"/>
  <c r="AW217"/>
  <c r="AW31" s="1"/>
  <c r="AZ204"/>
  <c r="AZ200"/>
  <c r="AC282"/>
  <c r="AC278" s="1"/>
  <c r="AC279" s="1"/>
  <c r="AC31"/>
  <c r="AD325"/>
  <c r="AD329"/>
  <c r="AD336"/>
  <c r="AW237"/>
  <c r="AW34" s="1"/>
  <c r="AW203"/>
  <c r="AW207" s="1"/>
  <c r="AW202" s="1"/>
  <c r="AF29"/>
  <c r="AW199"/>
  <c r="AW29" s="1"/>
  <c r="AW478"/>
  <c r="AZ478" s="1"/>
  <c r="AF28"/>
  <c r="AW159"/>
  <c r="AW28" s="1"/>
  <c r="AZ205"/>
  <c r="AB31"/>
  <c r="AQ333"/>
  <c r="AD216"/>
  <c r="AD328"/>
  <c r="AD214"/>
  <c r="AD224"/>
  <c r="AD335"/>
  <c r="AD281"/>
  <c r="P483"/>
  <c r="P482" s="1"/>
  <c r="T482" s="1"/>
  <c r="AF203"/>
  <c r="AD28"/>
  <c r="AD29"/>
  <c r="Y245"/>
  <c r="AD276"/>
  <c r="AD327"/>
  <c r="AD334"/>
  <c r="AD277"/>
  <c r="AD326"/>
  <c r="AD330"/>
  <c r="AC340"/>
  <c r="AC332" s="1"/>
  <c r="AC333" s="1"/>
  <c r="O487"/>
  <c r="O481" s="1"/>
  <c r="V481" s="1"/>
  <c r="AF481" s="1"/>
  <c r="AW481" s="1"/>
  <c r="AA219"/>
  <c r="AA33"/>
  <c r="AC220"/>
  <c r="AC225" s="1"/>
  <c r="AC218" s="1"/>
  <c r="AC219" s="1"/>
  <c r="AA332"/>
  <c r="AF479"/>
  <c r="AW479" s="1"/>
  <c r="AZ479" s="1"/>
  <c r="AB282"/>
  <c r="AB278" s="1"/>
  <c r="AB279" s="1"/>
  <c r="AD280"/>
  <c r="AD338"/>
  <c r="AD331"/>
  <c r="AA278"/>
  <c r="AA279" s="1"/>
  <c r="AE433"/>
  <c r="AE434" s="1"/>
  <c r="AE473"/>
  <c r="AE467"/>
  <c r="AE448"/>
  <c r="AE443" s="1"/>
  <c r="AE444" s="1"/>
  <c r="AE399"/>
  <c r="AE400" s="1"/>
  <c r="AE395"/>
  <c r="AE332"/>
  <c r="AE333" s="1"/>
  <c r="AE295"/>
  <c r="AE15"/>
  <c r="AE269"/>
  <c r="AE270" s="1"/>
  <c r="AE188"/>
  <c r="AE174"/>
  <c r="AE387" s="1"/>
  <c r="AE116"/>
  <c r="AE58"/>
  <c r="AZ480"/>
  <c r="AZ486"/>
  <c r="V484"/>
  <c r="AF484" s="1"/>
  <c r="X487"/>
  <c r="X482" s="1"/>
  <c r="X483" s="1"/>
  <c r="AD485"/>
  <c r="AD487" s="1"/>
  <c r="X245"/>
  <c r="W245"/>
  <c r="Z245"/>
  <c r="Y203"/>
  <c r="AD203" s="1"/>
  <c r="W324"/>
  <c r="W316" s="1"/>
  <c r="AD323"/>
  <c r="AD321"/>
  <c r="W504"/>
  <c r="AE33" l="1"/>
  <c r="AQ32"/>
  <c r="AQ35" s="1"/>
  <c r="AZ203"/>
  <c r="AZ199"/>
  <c r="AF487"/>
  <c r="AW484"/>
  <c r="AW487" s="1"/>
  <c r="AW201"/>
  <c r="AF207"/>
  <c r="AF202" s="1"/>
  <c r="AF201" s="1"/>
  <c r="AA32"/>
  <c r="T483"/>
  <c r="AA333"/>
  <c r="AC32"/>
  <c r="AC33"/>
  <c r="AE390"/>
  <c r="AE391" s="1"/>
  <c r="AE410"/>
  <c r="AD31"/>
  <c r="O483"/>
  <c r="O482" s="1"/>
  <c r="AE32"/>
  <c r="AE35" s="1"/>
  <c r="V487"/>
  <c r="V482" s="1"/>
  <c r="V483" s="1"/>
  <c r="AZ485"/>
  <c r="Y207"/>
  <c r="Y202" s="1"/>
  <c r="AD202" s="1"/>
  <c r="AZ202" s="1"/>
  <c r="AE1" l="1"/>
  <c r="AF482"/>
  <c r="AF483" s="1"/>
  <c r="AW482"/>
  <c r="AW483" s="1"/>
  <c r="AE411"/>
  <c r="AE412" s="1"/>
  <c r="AZ484"/>
  <c r="Y201"/>
  <c r="AD201" s="1"/>
  <c r="AZ201" s="1"/>
  <c r="AD207"/>
  <c r="AZ207" s="1"/>
  <c r="W436"/>
  <c r="AZ487" l="1"/>
  <c r="W307"/>
  <c r="O454" l="1"/>
  <c r="Z59" l="1"/>
  <c r="Z64" s="1"/>
  <c r="Z57" s="1"/>
  <c r="Z58" s="1"/>
  <c r="Y59"/>
  <c r="Y64" s="1"/>
  <c r="Y57" s="1"/>
  <c r="Y58" s="1"/>
  <c r="X59"/>
  <c r="X64" s="1"/>
  <c r="X57" s="1"/>
  <c r="X58" s="1"/>
  <c r="W59"/>
  <c r="W64" s="1"/>
  <c r="W57" s="1"/>
  <c r="W58" s="1"/>
  <c r="T65"/>
  <c r="M65"/>
  <c r="S63"/>
  <c r="R63"/>
  <c r="Q63"/>
  <c r="P63"/>
  <c r="O63"/>
  <c r="V63" s="1"/>
  <c r="AF63" s="1"/>
  <c r="AW63" s="1"/>
  <c r="L63"/>
  <c r="J63"/>
  <c r="I63"/>
  <c r="T62"/>
  <c r="L62"/>
  <c r="K62"/>
  <c r="J62"/>
  <c r="I62"/>
  <c r="H62"/>
  <c r="O62" s="1"/>
  <c r="V62" s="1"/>
  <c r="AF62" s="1"/>
  <c r="AW62" s="1"/>
  <c r="T61"/>
  <c r="N61"/>
  <c r="M61"/>
  <c r="H61"/>
  <c r="T60"/>
  <c r="N60"/>
  <c r="M60"/>
  <c r="H60"/>
  <c r="U59"/>
  <c r="U64" s="1"/>
  <c r="S59"/>
  <c r="R59"/>
  <c r="Q59"/>
  <c r="P59"/>
  <c r="N59"/>
  <c r="N64" s="1"/>
  <c r="L59"/>
  <c r="K59"/>
  <c r="J59"/>
  <c r="I59"/>
  <c r="U56"/>
  <c r="Q56"/>
  <c r="P56"/>
  <c r="N56"/>
  <c r="O56" s="1"/>
  <c r="V56" s="1"/>
  <c r="AF56" s="1"/>
  <c r="AW56" s="1"/>
  <c r="L56"/>
  <c r="K56"/>
  <c r="J56"/>
  <c r="I56"/>
  <c r="T55"/>
  <c r="O55"/>
  <c r="V55" s="1"/>
  <c r="AF55" s="1"/>
  <c r="AW55" s="1"/>
  <c r="M55"/>
  <c r="U54"/>
  <c r="Q54"/>
  <c r="P54"/>
  <c r="N54"/>
  <c r="O54" s="1"/>
  <c r="L54"/>
  <c r="K54"/>
  <c r="J54"/>
  <c r="I54"/>
  <c r="AD54"/>
  <c r="AD55"/>
  <c r="AD56"/>
  <c r="AD60"/>
  <c r="AD61"/>
  <c r="AD62"/>
  <c r="AD63"/>
  <c r="AD65"/>
  <c r="J64" l="1"/>
  <c r="P64"/>
  <c r="O61"/>
  <c r="V61" s="1"/>
  <c r="AF61" s="1"/>
  <c r="AW61" s="1"/>
  <c r="V54"/>
  <c r="AF54" s="1"/>
  <c r="AW54" s="1"/>
  <c r="O60"/>
  <c r="AD59"/>
  <c r="AD64" s="1"/>
  <c r="H59"/>
  <c r="H64" s="1"/>
  <c r="H57" s="1"/>
  <c r="H58" s="1"/>
  <c r="J57"/>
  <c r="J58" s="1"/>
  <c r="P57"/>
  <c r="P58" s="1"/>
  <c r="U57"/>
  <c r="T56"/>
  <c r="N57"/>
  <c r="N58" s="1"/>
  <c r="L64"/>
  <c r="L57" s="1"/>
  <c r="L58" s="1"/>
  <c r="R64"/>
  <c r="R57" s="1"/>
  <c r="R58" s="1"/>
  <c r="V60"/>
  <c r="M63"/>
  <c r="T63"/>
  <c r="M56"/>
  <c r="T59"/>
  <c r="I64"/>
  <c r="I57" s="1"/>
  <c r="I58" s="1"/>
  <c r="S64"/>
  <c r="S57" s="1"/>
  <c r="S58" s="1"/>
  <c r="AZ56"/>
  <c r="U58"/>
  <c r="K64"/>
  <c r="K57" s="1"/>
  <c r="K58" s="1"/>
  <c r="Q64"/>
  <c r="Q57" s="1"/>
  <c r="Q58" s="1"/>
  <c r="M59"/>
  <c r="M62"/>
  <c r="AZ62"/>
  <c r="T54"/>
  <c r="M54"/>
  <c r="AZ54"/>
  <c r="T64" l="1"/>
  <c r="O59"/>
  <c r="O64" s="1"/>
  <c r="O57" s="1"/>
  <c r="O58" s="1"/>
  <c r="V59"/>
  <c r="V64" s="1"/>
  <c r="V57" s="1"/>
  <c r="AF60"/>
  <c r="AZ65"/>
  <c r="AD57"/>
  <c r="AZ55"/>
  <c r="M64"/>
  <c r="M57" s="1"/>
  <c r="M58" s="1"/>
  <c r="T57"/>
  <c r="T58" s="1"/>
  <c r="AZ61"/>
  <c r="AZ63"/>
  <c r="AF59" l="1"/>
  <c r="AF64" s="1"/>
  <c r="AW60"/>
  <c r="AD58"/>
  <c r="V58"/>
  <c r="AF57" l="1"/>
  <c r="AW59"/>
  <c r="AZ60"/>
  <c r="AF58" l="1"/>
  <c r="AW64"/>
  <c r="AZ59"/>
  <c r="AW57" l="1"/>
  <c r="AZ64"/>
  <c r="X133"/>
  <c r="W133"/>
  <c r="AW58" l="1"/>
  <c r="AZ58" s="1"/>
  <c r="AZ57"/>
  <c r="W476" l="1"/>
  <c r="W466"/>
  <c r="W457"/>
  <c r="W452" s="1"/>
  <c r="W453" s="1"/>
  <c r="X457"/>
  <c r="X452" s="1"/>
  <c r="X453" s="1"/>
  <c r="Y457"/>
  <c r="Y452" s="1"/>
  <c r="Y453" s="1"/>
  <c r="Z457"/>
  <c r="Z452" s="1"/>
  <c r="Z453" s="1"/>
  <c r="Y442" l="1"/>
  <c r="Z442"/>
  <c r="X442"/>
  <c r="W442"/>
  <c r="W291"/>
  <c r="W286" s="1"/>
  <c r="W287" s="1"/>
  <c r="X291"/>
  <c r="X286" s="1"/>
  <c r="X287" s="1"/>
  <c r="Y291"/>
  <c r="Y286" s="1"/>
  <c r="Y287" s="1"/>
  <c r="Z291"/>
  <c r="Z286" s="1"/>
  <c r="Z287" s="1"/>
  <c r="X447"/>
  <c r="W447"/>
  <c r="X446"/>
  <c r="W446"/>
  <c r="X445"/>
  <c r="W445"/>
  <c r="Y448"/>
  <c r="Z448"/>
  <c r="Z471"/>
  <c r="Y471"/>
  <c r="X471"/>
  <c r="W471"/>
  <c r="W309"/>
  <c r="W304" s="1"/>
  <c r="W305" s="1"/>
  <c r="X309"/>
  <c r="X304" s="1"/>
  <c r="X305" s="1"/>
  <c r="Y309"/>
  <c r="Y304" s="1"/>
  <c r="Y305" s="1"/>
  <c r="Z309"/>
  <c r="Z304" s="1"/>
  <c r="Z305" s="1"/>
  <c r="X476"/>
  <c r="X474"/>
  <c r="W474"/>
  <c r="Y477"/>
  <c r="Z477"/>
  <c r="Y461"/>
  <c r="Y463" s="1"/>
  <c r="Y462" s="1"/>
  <c r="Z461"/>
  <c r="Z463" s="1"/>
  <c r="Z462" s="1"/>
  <c r="X461"/>
  <c r="X463" s="1"/>
  <c r="X462" s="1"/>
  <c r="W463"/>
  <c r="W462" s="1"/>
  <c r="W300"/>
  <c r="X300"/>
  <c r="Y300"/>
  <c r="Z300"/>
  <c r="X466"/>
  <c r="X465"/>
  <c r="W465"/>
  <c r="X464"/>
  <c r="W464"/>
  <c r="Y467"/>
  <c r="Z467"/>
  <c r="X187"/>
  <c r="V187"/>
  <c r="AF187" s="1"/>
  <c r="AW187" s="1"/>
  <c r="AZ187" s="1"/>
  <c r="X186"/>
  <c r="Y186"/>
  <c r="W186"/>
  <c r="V186"/>
  <c r="AF186" s="1"/>
  <c r="V183"/>
  <c r="AF183" s="1"/>
  <c r="AW183" s="1"/>
  <c r="V182"/>
  <c r="AF182" s="1"/>
  <c r="AW182" s="1"/>
  <c r="V180"/>
  <c r="AF180" s="1"/>
  <c r="AW180" s="1"/>
  <c r="AZ180" s="1"/>
  <c r="V179"/>
  <c r="AF179" s="1"/>
  <c r="AW179" s="1"/>
  <c r="AZ179" s="1"/>
  <c r="V176"/>
  <c r="AF176" s="1"/>
  <c r="AW176" s="1"/>
  <c r="V175"/>
  <c r="AF175" s="1"/>
  <c r="AW175" s="1"/>
  <c r="Z408"/>
  <c r="Z407"/>
  <c r="AW181" l="1"/>
  <c r="AW177" s="1"/>
  <c r="AW178" s="1"/>
  <c r="AF188"/>
  <c r="AW186"/>
  <c r="Y443"/>
  <c r="AD442"/>
  <c r="AF181"/>
  <c r="Z295"/>
  <c r="Z296"/>
  <c r="W296"/>
  <c r="W295"/>
  <c r="X295"/>
  <c r="X296"/>
  <c r="Y295"/>
  <c r="Y296"/>
  <c r="V188"/>
  <c r="V184" s="1"/>
  <c r="Z472"/>
  <c r="Z473" s="1"/>
  <c r="Y472"/>
  <c r="Y473" s="1"/>
  <c r="Y444"/>
  <c r="Z443"/>
  <c r="Z444" s="1"/>
  <c r="X448"/>
  <c r="X443" s="1"/>
  <c r="X444" s="1"/>
  <c r="W448"/>
  <c r="W443" s="1"/>
  <c r="W444" s="1"/>
  <c r="X477"/>
  <c r="X472" s="1"/>
  <c r="X473" s="1"/>
  <c r="W477"/>
  <c r="W472" s="1"/>
  <c r="X467"/>
  <c r="W467"/>
  <c r="Z416"/>
  <c r="AD416" s="1"/>
  <c r="Z415"/>
  <c r="AD415" s="1"/>
  <c r="Z414"/>
  <c r="Z417"/>
  <c r="Z187" s="1"/>
  <c r="Y417"/>
  <c r="Y187" s="1"/>
  <c r="W417"/>
  <c r="W187" s="1"/>
  <c r="V417"/>
  <c r="AF417" s="1"/>
  <c r="AW417" s="1"/>
  <c r="V416"/>
  <c r="AF416" s="1"/>
  <c r="AW416" s="1"/>
  <c r="V415"/>
  <c r="AF415" s="1"/>
  <c r="V414"/>
  <c r="AF414" s="1"/>
  <c r="V410"/>
  <c r="AF410" s="1"/>
  <c r="AW410" s="1"/>
  <c r="V408"/>
  <c r="AF408" s="1"/>
  <c r="V407"/>
  <c r="AF407" s="1"/>
  <c r="AW407" s="1"/>
  <c r="V398"/>
  <c r="AF398" s="1"/>
  <c r="AW398" s="1"/>
  <c r="AZ398" s="1"/>
  <c r="AD408"/>
  <c r="AD407"/>
  <c r="Y413"/>
  <c r="X413"/>
  <c r="W413"/>
  <c r="V405"/>
  <c r="AF405" s="1"/>
  <c r="AW405" s="1"/>
  <c r="V404"/>
  <c r="AF404" s="1"/>
  <c r="AW404" s="1"/>
  <c r="V403"/>
  <c r="AF403" s="1"/>
  <c r="AW403" s="1"/>
  <c r="V402"/>
  <c r="AF402" s="1"/>
  <c r="V397"/>
  <c r="AF397" s="1"/>
  <c r="AW397" s="1"/>
  <c r="V396"/>
  <c r="AF396" s="1"/>
  <c r="AW396" s="1"/>
  <c r="Z403"/>
  <c r="Z402"/>
  <c r="Z179" s="1"/>
  <c r="Y179"/>
  <c r="W179"/>
  <c r="V181"/>
  <c r="V177" s="1"/>
  <c r="AF177" s="1"/>
  <c r="Z397"/>
  <c r="X397"/>
  <c r="Z396"/>
  <c r="X396"/>
  <c r="Z404"/>
  <c r="W405"/>
  <c r="Z180"/>
  <c r="Y405"/>
  <c r="X405"/>
  <c r="X180" s="1"/>
  <c r="X404"/>
  <c r="X403"/>
  <c r="X402"/>
  <c r="X179" s="1"/>
  <c r="W401"/>
  <c r="Y401"/>
  <c r="P399"/>
  <c r="P400" s="1"/>
  <c r="Q399"/>
  <c r="Q400" s="1"/>
  <c r="R399"/>
  <c r="R400" s="1"/>
  <c r="S399"/>
  <c r="S400" s="1"/>
  <c r="T399"/>
  <c r="T400" s="1"/>
  <c r="U399"/>
  <c r="U400" s="1"/>
  <c r="O406"/>
  <c r="O399" s="1"/>
  <c r="O400" s="1"/>
  <c r="Z500"/>
  <c r="Y500"/>
  <c r="X500"/>
  <c r="W500"/>
  <c r="AW415" l="1"/>
  <c r="AZ415" s="1"/>
  <c r="AG408"/>
  <c r="AW188"/>
  <c r="AZ186"/>
  <c r="AF401"/>
  <c r="AF406" s="1"/>
  <c r="AF399" s="1"/>
  <c r="AF400" s="1"/>
  <c r="AW402"/>
  <c r="AW401" s="1"/>
  <c r="AW406" s="1"/>
  <c r="AW399" s="1"/>
  <c r="AW400" s="1"/>
  <c r="AW414"/>
  <c r="AF413"/>
  <c r="AF418" s="1"/>
  <c r="AF411" s="1"/>
  <c r="AF412" s="1"/>
  <c r="V185"/>
  <c r="AF184"/>
  <c r="V178"/>
  <c r="Y188"/>
  <c r="Y410" s="1"/>
  <c r="AD414"/>
  <c r="AD413" s="1"/>
  <c r="Z186"/>
  <c r="AD186" s="1"/>
  <c r="Y418"/>
  <c r="Y411" s="1"/>
  <c r="X181"/>
  <c r="X177" s="1"/>
  <c r="X178" s="1"/>
  <c r="W406"/>
  <c r="W418"/>
  <c r="W473"/>
  <c r="X418"/>
  <c r="X188"/>
  <c r="W188"/>
  <c r="Y406"/>
  <c r="W180"/>
  <c r="W181" s="1"/>
  <c r="W398" s="1"/>
  <c r="Z181"/>
  <c r="AZ416"/>
  <c r="Y180"/>
  <c r="Y181" s="1"/>
  <c r="V401"/>
  <c r="V406" s="1"/>
  <c r="V399" s="1"/>
  <c r="V400" s="1"/>
  <c r="V413"/>
  <c r="V418" s="1"/>
  <c r="V411" s="1"/>
  <c r="Z413"/>
  <c r="AD417"/>
  <c r="AZ417" s="1"/>
  <c r="AZ407"/>
  <c r="AD179"/>
  <c r="AZ396"/>
  <c r="AD405"/>
  <c r="AZ405" s="1"/>
  <c r="AZ397"/>
  <c r="AD404"/>
  <c r="AZ404" s="1"/>
  <c r="AD403"/>
  <c r="AZ403" s="1"/>
  <c r="Z401"/>
  <c r="Z406" s="1"/>
  <c r="AD402"/>
  <c r="X401"/>
  <c r="X406" s="1"/>
  <c r="W505"/>
  <c r="W501" s="1"/>
  <c r="W502" s="1"/>
  <c r="X505"/>
  <c r="X502" s="1"/>
  <c r="Y505"/>
  <c r="Y501" s="1"/>
  <c r="Y502" s="1"/>
  <c r="Z505"/>
  <c r="Z501" s="1"/>
  <c r="Z502" s="1"/>
  <c r="AO408" l="1"/>
  <c r="AG411"/>
  <c r="AG412" s="1"/>
  <c r="AW413"/>
  <c r="AW418" s="1"/>
  <c r="AF178"/>
  <c r="AF185"/>
  <c r="AW184"/>
  <c r="Y184"/>
  <c r="Y185" s="1"/>
  <c r="X398"/>
  <c r="X399" s="1"/>
  <c r="X400" s="1"/>
  <c r="V412"/>
  <c r="X184"/>
  <c r="X185" s="1"/>
  <c r="X410"/>
  <c r="X411" s="1"/>
  <c r="Y412"/>
  <c r="W184"/>
  <c r="W185" s="1"/>
  <c r="W410"/>
  <c r="W411" s="1"/>
  <c r="AD180"/>
  <c r="Z418"/>
  <c r="Y398"/>
  <c r="Y399" s="1"/>
  <c r="Y177"/>
  <c r="Y178" s="1"/>
  <c r="W177"/>
  <c r="Z177"/>
  <c r="Z178" s="1"/>
  <c r="Z398"/>
  <c r="Z399" s="1"/>
  <c r="AD418"/>
  <c r="AD401"/>
  <c r="AD406" s="1"/>
  <c r="W353"/>
  <c r="W21" s="1"/>
  <c r="X354"/>
  <c r="Y354"/>
  <c r="Z354"/>
  <c r="H5"/>
  <c r="I5"/>
  <c r="J5"/>
  <c r="K5"/>
  <c r="L5"/>
  <c r="M5"/>
  <c r="N5"/>
  <c r="O5"/>
  <c r="P5"/>
  <c r="Q5"/>
  <c r="R5"/>
  <c r="S5"/>
  <c r="T5"/>
  <c r="U5"/>
  <c r="H6"/>
  <c r="I6"/>
  <c r="J6"/>
  <c r="K6"/>
  <c r="L6"/>
  <c r="M6"/>
  <c r="N6"/>
  <c r="O6"/>
  <c r="P6"/>
  <c r="Q6"/>
  <c r="R6"/>
  <c r="S6"/>
  <c r="T6"/>
  <c r="U6"/>
  <c r="H7"/>
  <c r="I7"/>
  <c r="J7"/>
  <c r="K7"/>
  <c r="L7"/>
  <c r="M7"/>
  <c r="N7"/>
  <c r="O7"/>
  <c r="P7"/>
  <c r="Q7"/>
  <c r="R7"/>
  <c r="S7"/>
  <c r="T7"/>
  <c r="U7"/>
  <c r="H8"/>
  <c r="I8"/>
  <c r="J8"/>
  <c r="K8"/>
  <c r="L8"/>
  <c r="M8"/>
  <c r="N8"/>
  <c r="O8"/>
  <c r="P8"/>
  <c r="Q8"/>
  <c r="R8"/>
  <c r="S8"/>
  <c r="T8"/>
  <c r="U8"/>
  <c r="P9"/>
  <c r="R9"/>
  <c r="S9"/>
  <c r="I10"/>
  <c r="J10"/>
  <c r="K10"/>
  <c r="L10"/>
  <c r="N10"/>
  <c r="P10"/>
  <c r="Q10"/>
  <c r="R10"/>
  <c r="S10"/>
  <c r="U10"/>
  <c r="Q11"/>
  <c r="R11"/>
  <c r="S11"/>
  <c r="I12"/>
  <c r="J12"/>
  <c r="K12"/>
  <c r="L12"/>
  <c r="N12"/>
  <c r="P12"/>
  <c r="Q12"/>
  <c r="R12"/>
  <c r="S12"/>
  <c r="U12"/>
  <c r="R13"/>
  <c r="S13"/>
  <c r="H15"/>
  <c r="I15"/>
  <c r="J15"/>
  <c r="N15"/>
  <c r="P15"/>
  <c r="Q15"/>
  <c r="R15"/>
  <c r="S15"/>
  <c r="U15"/>
  <c r="H16"/>
  <c r="I16"/>
  <c r="J16"/>
  <c r="K16"/>
  <c r="L16"/>
  <c r="N16"/>
  <c r="P16"/>
  <c r="Q16"/>
  <c r="R16"/>
  <c r="S16"/>
  <c r="U16"/>
  <c r="H17"/>
  <c r="I17"/>
  <c r="J17"/>
  <c r="N17"/>
  <c r="P17"/>
  <c r="Q17"/>
  <c r="R17"/>
  <c r="S17"/>
  <c r="U17"/>
  <c r="H18"/>
  <c r="I18"/>
  <c r="J18"/>
  <c r="K18"/>
  <c r="L18"/>
  <c r="N18"/>
  <c r="Q18"/>
  <c r="R18"/>
  <c r="S18"/>
  <c r="H19"/>
  <c r="I19"/>
  <c r="J19"/>
  <c r="K19"/>
  <c r="L19"/>
  <c r="N19"/>
  <c r="P19"/>
  <c r="Q19"/>
  <c r="R19"/>
  <c r="S19"/>
  <c r="U19"/>
  <c r="H20"/>
  <c r="I20"/>
  <c r="J20"/>
  <c r="K20"/>
  <c r="L20"/>
  <c r="N20"/>
  <c r="P20"/>
  <c r="Q20"/>
  <c r="R20"/>
  <c r="S20"/>
  <c r="H21"/>
  <c r="I21"/>
  <c r="J21"/>
  <c r="K21"/>
  <c r="L21"/>
  <c r="Q21"/>
  <c r="R21"/>
  <c r="S21"/>
  <c r="U21"/>
  <c r="H22"/>
  <c r="I22"/>
  <c r="J22"/>
  <c r="K22"/>
  <c r="L22"/>
  <c r="M22"/>
  <c r="N22"/>
  <c r="P22"/>
  <c r="Q22"/>
  <c r="R22"/>
  <c r="S22"/>
  <c r="U22"/>
  <c r="H23"/>
  <c r="I23"/>
  <c r="J23"/>
  <c r="K23"/>
  <c r="L23"/>
  <c r="M23"/>
  <c r="N23"/>
  <c r="P23"/>
  <c r="Q23"/>
  <c r="R23"/>
  <c r="S23"/>
  <c r="U23"/>
  <c r="H24"/>
  <c r="I24"/>
  <c r="J24"/>
  <c r="K24"/>
  <c r="L24"/>
  <c r="M24"/>
  <c r="N24"/>
  <c r="P24"/>
  <c r="Q24"/>
  <c r="R24"/>
  <c r="S24"/>
  <c r="U24"/>
  <c r="H25"/>
  <c r="I25"/>
  <c r="J25"/>
  <c r="K25"/>
  <c r="L25"/>
  <c r="N25"/>
  <c r="P25"/>
  <c r="Q25"/>
  <c r="R25"/>
  <c r="S25"/>
  <c r="U25"/>
  <c r="H26"/>
  <c r="I26"/>
  <c r="J26"/>
  <c r="K26"/>
  <c r="L26"/>
  <c r="N26"/>
  <c r="P26"/>
  <c r="Q26"/>
  <c r="R26"/>
  <c r="S26"/>
  <c r="U26"/>
  <c r="H27"/>
  <c r="I27"/>
  <c r="J27"/>
  <c r="K27"/>
  <c r="L27"/>
  <c r="M27"/>
  <c r="N27"/>
  <c r="O27"/>
  <c r="P27"/>
  <c r="Q27"/>
  <c r="R27"/>
  <c r="S27"/>
  <c r="T27"/>
  <c r="U27"/>
  <c r="H30"/>
  <c r="I30"/>
  <c r="J30"/>
  <c r="K30"/>
  <c r="L30"/>
  <c r="N30"/>
  <c r="P30"/>
  <c r="Q30"/>
  <c r="R30"/>
  <c r="S30"/>
  <c r="U30"/>
  <c r="Z158"/>
  <c r="Z30" s="1"/>
  <c r="Y158"/>
  <c r="Y30" s="1"/>
  <c r="X158"/>
  <c r="X30" s="1"/>
  <c r="Z157"/>
  <c r="Z27" s="1"/>
  <c r="Y157"/>
  <c r="Y27" s="1"/>
  <c r="X157"/>
  <c r="X27" s="1"/>
  <c r="Z165"/>
  <c r="Y165"/>
  <c r="X165"/>
  <c r="W165"/>
  <c r="Z164"/>
  <c r="Y164"/>
  <c r="X164"/>
  <c r="W164"/>
  <c r="AD166"/>
  <c r="V166"/>
  <c r="AF166" s="1"/>
  <c r="AW166" s="1"/>
  <c r="V165"/>
  <c r="AF165" s="1"/>
  <c r="AW165" s="1"/>
  <c r="V164"/>
  <c r="AF164" s="1"/>
  <c r="AW164" s="1"/>
  <c r="V163"/>
  <c r="AF163" s="1"/>
  <c r="AW163" s="1"/>
  <c r="V158"/>
  <c r="AF158" s="1"/>
  <c r="AW158" s="1"/>
  <c r="I162"/>
  <c r="I167" s="1"/>
  <c r="I160" s="1"/>
  <c r="I161" s="1"/>
  <c r="J162"/>
  <c r="J167" s="1"/>
  <c r="J160" s="1"/>
  <c r="J161" s="1"/>
  <c r="K162"/>
  <c r="K167" s="1"/>
  <c r="K160" s="1"/>
  <c r="K161" s="1"/>
  <c r="L162"/>
  <c r="L167" s="1"/>
  <c r="L160" s="1"/>
  <c r="L161" s="1"/>
  <c r="M162"/>
  <c r="M167" s="1"/>
  <c r="M160" s="1"/>
  <c r="M161" s="1"/>
  <c r="N162"/>
  <c r="N167" s="1"/>
  <c r="N160" s="1"/>
  <c r="N161" s="1"/>
  <c r="O162"/>
  <c r="O167" s="1"/>
  <c r="O160" s="1"/>
  <c r="O161" s="1"/>
  <c r="P162"/>
  <c r="P167" s="1"/>
  <c r="P160" s="1"/>
  <c r="P161" s="1"/>
  <c r="Q162"/>
  <c r="Q167" s="1"/>
  <c r="Q160" s="1"/>
  <c r="Q161" s="1"/>
  <c r="R162"/>
  <c r="R167" s="1"/>
  <c r="R160" s="1"/>
  <c r="R161" s="1"/>
  <c r="S162"/>
  <c r="S167" s="1"/>
  <c r="S160" s="1"/>
  <c r="S161" s="1"/>
  <c r="T162"/>
  <c r="T167" s="1"/>
  <c r="T160" s="1"/>
  <c r="T161" s="1"/>
  <c r="U162"/>
  <c r="U167" s="1"/>
  <c r="U160" s="1"/>
  <c r="U161" s="1"/>
  <c r="H162"/>
  <c r="H167" s="1"/>
  <c r="H160" s="1"/>
  <c r="H161" s="1"/>
  <c r="O276"/>
  <c r="V276" s="1"/>
  <c r="AF276" s="1"/>
  <c r="AW276" s="1"/>
  <c r="O280"/>
  <c r="V280" s="1"/>
  <c r="AF280" s="1"/>
  <c r="AW280" s="1"/>
  <c r="T276"/>
  <c r="T280"/>
  <c r="I282"/>
  <c r="I278" s="1"/>
  <c r="I279" s="1"/>
  <c r="J282"/>
  <c r="J278" s="1"/>
  <c r="J279" s="1"/>
  <c r="K282"/>
  <c r="K278" s="1"/>
  <c r="K279" s="1"/>
  <c r="L282"/>
  <c r="L278" s="1"/>
  <c r="L279" s="1"/>
  <c r="M282"/>
  <c r="M278" s="1"/>
  <c r="M279" s="1"/>
  <c r="N282"/>
  <c r="N278" s="1"/>
  <c r="N279" s="1"/>
  <c r="Q282"/>
  <c r="Q278" s="1"/>
  <c r="Q279" s="1"/>
  <c r="R282"/>
  <c r="R278" s="1"/>
  <c r="R279" s="1"/>
  <c r="S282"/>
  <c r="S278" s="1"/>
  <c r="S279" s="1"/>
  <c r="U282"/>
  <c r="U278" s="1"/>
  <c r="U279" s="1"/>
  <c r="W282"/>
  <c r="X282"/>
  <c r="Y282"/>
  <c r="Z282"/>
  <c r="H282"/>
  <c r="H278" s="1"/>
  <c r="H279" s="1"/>
  <c r="X197"/>
  <c r="Y197"/>
  <c r="Z197"/>
  <c r="W197"/>
  <c r="X437"/>
  <c r="X433" s="1"/>
  <c r="X434" s="1"/>
  <c r="AW185" l="1"/>
  <c r="AQ408"/>
  <c r="AO411"/>
  <c r="AO412" s="1"/>
  <c r="AW162"/>
  <c r="AW167" s="1"/>
  <c r="AW160" s="1"/>
  <c r="AW161" s="1"/>
  <c r="AZ414"/>
  <c r="Z278"/>
  <c r="Z279" s="1"/>
  <c r="Y278"/>
  <c r="Y279" s="1"/>
  <c r="W278"/>
  <c r="W279" s="1"/>
  <c r="X278"/>
  <c r="X279" s="1"/>
  <c r="AF162"/>
  <c r="AF167" s="1"/>
  <c r="AD181"/>
  <c r="X412"/>
  <c r="AD398"/>
  <c r="W412"/>
  <c r="Z188"/>
  <c r="AD187"/>
  <c r="V162"/>
  <c r="V167" s="1"/>
  <c r="Z400"/>
  <c r="W399"/>
  <c r="W400" s="1"/>
  <c r="AZ166"/>
  <c r="Y400"/>
  <c r="W178"/>
  <c r="AD177"/>
  <c r="AZ402"/>
  <c r="W354"/>
  <c r="AD158"/>
  <c r="AZ158" s="1"/>
  <c r="AD157"/>
  <c r="AD27" s="1"/>
  <c r="AD165"/>
  <c r="AZ165" s="1"/>
  <c r="Z162"/>
  <c r="Z167" s="1"/>
  <c r="Z160" s="1"/>
  <c r="Y162"/>
  <c r="Y167" s="1"/>
  <c r="Y160" s="1"/>
  <c r="X162"/>
  <c r="X167" s="1"/>
  <c r="X160" s="1"/>
  <c r="AD164"/>
  <c r="AZ164" s="1"/>
  <c r="W162"/>
  <c r="W167" s="1"/>
  <c r="AD163"/>
  <c r="AZ163" s="1"/>
  <c r="AD282"/>
  <c r="Z437"/>
  <c r="Z433" s="1"/>
  <c r="Z434" s="1"/>
  <c r="Y437"/>
  <c r="Y433" s="1"/>
  <c r="Y434" s="1"/>
  <c r="W437"/>
  <c r="AQ411" l="1"/>
  <c r="AQ412" s="1"/>
  <c r="AW408"/>
  <c r="AZ413"/>
  <c r="W160"/>
  <c r="W161" s="1"/>
  <c r="AD278"/>
  <c r="AD279" s="1"/>
  <c r="AF160"/>
  <c r="AF161" s="1"/>
  <c r="V160"/>
  <c r="V161" s="1"/>
  <c r="Z184"/>
  <c r="AD184" s="1"/>
  <c r="Z410"/>
  <c r="Z411" s="1"/>
  <c r="W433"/>
  <c r="W434" s="1"/>
  <c r="AD188"/>
  <c r="AD178"/>
  <c r="AD399"/>
  <c r="AD400" s="1"/>
  <c r="AZ401"/>
  <c r="AW27"/>
  <c r="Z161"/>
  <c r="Y161"/>
  <c r="X161"/>
  <c r="AD162"/>
  <c r="AD167" s="1"/>
  <c r="AZ408" l="1"/>
  <c r="AW411"/>
  <c r="AW412" s="1"/>
  <c r="AZ418"/>
  <c r="AD160"/>
  <c r="AD161" s="1"/>
  <c r="AD410"/>
  <c r="AD411" s="1"/>
  <c r="Z412"/>
  <c r="Z185"/>
  <c r="AD185"/>
  <c r="AZ406"/>
  <c r="AZ157"/>
  <c r="AZ162"/>
  <c r="AD412" l="1"/>
  <c r="AZ399"/>
  <c r="AZ400"/>
  <c r="AZ167"/>
  <c r="AZ161" l="1"/>
  <c r="AZ160"/>
  <c r="Y215"/>
  <c r="Z223"/>
  <c r="Z221"/>
  <c r="Y223"/>
  <c r="AB223" s="1"/>
  <c r="AD223" s="1"/>
  <c r="Y221"/>
  <c r="Z222"/>
  <c r="Y222"/>
  <c r="AB222" s="1"/>
  <c r="AD222" s="1"/>
  <c r="W209"/>
  <c r="AD209" s="1"/>
  <c r="T209"/>
  <c r="O209"/>
  <c r="V209" s="1"/>
  <c r="AF209" s="1"/>
  <c r="AW209" s="1"/>
  <c r="M209"/>
  <c r="AD208"/>
  <c r="T208"/>
  <c r="M208"/>
  <c r="O208"/>
  <c r="V208" s="1"/>
  <c r="AF208" s="1"/>
  <c r="AW208" s="1"/>
  <c r="W75"/>
  <c r="AD75" s="1"/>
  <c r="W109"/>
  <c r="W107"/>
  <c r="W105"/>
  <c r="T224"/>
  <c r="O224"/>
  <c r="V224" s="1"/>
  <c r="AF224" s="1"/>
  <c r="AW224" s="1"/>
  <c r="T223"/>
  <c r="M223"/>
  <c r="O223"/>
  <c r="V223" s="1"/>
  <c r="AF223" s="1"/>
  <c r="AW223" s="1"/>
  <c r="T222"/>
  <c r="M222"/>
  <c r="O222"/>
  <c r="V222" s="1"/>
  <c r="AF222" s="1"/>
  <c r="AW222" s="1"/>
  <c r="T221"/>
  <c r="O221"/>
  <c r="M221"/>
  <c r="X220"/>
  <c r="X225" s="1"/>
  <c r="W220"/>
  <c r="U220"/>
  <c r="U225" s="1"/>
  <c r="U218" s="1"/>
  <c r="U219" s="1"/>
  <c r="S220"/>
  <c r="S225" s="1"/>
  <c r="S218" s="1"/>
  <c r="S219" s="1"/>
  <c r="R220"/>
  <c r="R225" s="1"/>
  <c r="R218" s="1"/>
  <c r="R219" s="1"/>
  <c r="Q220"/>
  <c r="Q225" s="1"/>
  <c r="Q218" s="1"/>
  <c r="Q219" s="1"/>
  <c r="P220"/>
  <c r="P225" s="1"/>
  <c r="P218" s="1"/>
  <c r="P219" s="1"/>
  <c r="N220"/>
  <c r="N225" s="1"/>
  <c r="N218" s="1"/>
  <c r="N219" s="1"/>
  <c r="L220"/>
  <c r="L225" s="1"/>
  <c r="L218" s="1"/>
  <c r="L219" s="1"/>
  <c r="K220"/>
  <c r="K225" s="1"/>
  <c r="J220"/>
  <c r="J225" s="1"/>
  <c r="J218" s="1"/>
  <c r="I220"/>
  <c r="I225" s="1"/>
  <c r="I218" s="1"/>
  <c r="H220"/>
  <c r="AD30"/>
  <c r="T216"/>
  <c r="T30" s="1"/>
  <c r="M216"/>
  <c r="M30" s="1"/>
  <c r="O216"/>
  <c r="O30" s="1"/>
  <c r="T215"/>
  <c r="T26" s="1"/>
  <c r="O215"/>
  <c r="O26" s="1"/>
  <c r="M215"/>
  <c r="M26" s="1"/>
  <c r="AD25"/>
  <c r="T214"/>
  <c r="T25" s="1"/>
  <c r="O214"/>
  <c r="O25" s="1"/>
  <c r="M214"/>
  <c r="M25" s="1"/>
  <c r="AD275"/>
  <c r="Y273"/>
  <c r="Y271"/>
  <c r="W274"/>
  <c r="X274"/>
  <c r="Z274"/>
  <c r="Y349"/>
  <c r="X349"/>
  <c r="Y347"/>
  <c r="X347"/>
  <c r="W350"/>
  <c r="W345" s="1"/>
  <c r="W346" s="1"/>
  <c r="Z350"/>
  <c r="Z345" s="1"/>
  <c r="Z346" s="1"/>
  <c r="Y264"/>
  <c r="X264"/>
  <c r="W264"/>
  <c r="Y262"/>
  <c r="X262"/>
  <c r="W262"/>
  <c r="Z265"/>
  <c r="Z260" s="1"/>
  <c r="Z261" s="1"/>
  <c r="AD237"/>
  <c r="X234"/>
  <c r="X235"/>
  <c r="X233"/>
  <c r="Y317"/>
  <c r="Y481" s="1"/>
  <c r="Z317"/>
  <c r="Z481" s="1"/>
  <c r="Z235"/>
  <c r="Y235"/>
  <c r="Z234"/>
  <c r="Y234"/>
  <c r="Z233"/>
  <c r="Y233"/>
  <c r="Y26" l="1"/>
  <c r="AB215"/>
  <c r="AD215" s="1"/>
  <c r="AD26" s="1"/>
  <c r="AB221"/>
  <c r="AD481"/>
  <c r="Y482"/>
  <c r="Y483" s="1"/>
  <c r="Z482"/>
  <c r="Z483" s="1"/>
  <c r="X218"/>
  <c r="X219" s="1"/>
  <c r="W269"/>
  <c r="X269"/>
  <c r="Z269"/>
  <c r="Y274"/>
  <c r="T220"/>
  <c r="T225" s="1"/>
  <c r="T218" s="1"/>
  <c r="T219" s="1"/>
  <c r="Y350"/>
  <c r="Y345" s="1"/>
  <c r="Y346" s="1"/>
  <c r="V214"/>
  <c r="V215"/>
  <c r="V216"/>
  <c r="AZ208"/>
  <c r="AZ223"/>
  <c r="AZ222"/>
  <c r="Z220"/>
  <c r="Z225" s="1"/>
  <c r="Y220"/>
  <c r="Y225" s="1"/>
  <c r="M220"/>
  <c r="W265"/>
  <c r="W260" s="1"/>
  <c r="W261" s="1"/>
  <c r="W225"/>
  <c r="AZ224"/>
  <c r="K218"/>
  <c r="K219" s="1"/>
  <c r="J219"/>
  <c r="O220"/>
  <c r="O225" s="1"/>
  <c r="O218" s="1"/>
  <c r="O219" s="1"/>
  <c r="AZ209"/>
  <c r="V221"/>
  <c r="AF221" s="1"/>
  <c r="I219"/>
  <c r="M224"/>
  <c r="H225"/>
  <c r="H218" s="1"/>
  <c r="H219" s="1"/>
  <c r="X350"/>
  <c r="X345" s="1"/>
  <c r="X346" s="1"/>
  <c r="Y265"/>
  <c r="Y260" s="1"/>
  <c r="Y261" s="1"/>
  <c r="X265"/>
  <c r="X260" s="1"/>
  <c r="X261" s="1"/>
  <c r="X317"/>
  <c r="W317"/>
  <c r="AB220" l="1"/>
  <c r="AB225" s="1"/>
  <c r="AB218" s="1"/>
  <c r="AB219" s="1"/>
  <c r="AD221"/>
  <c r="AF220"/>
  <c r="AF225" s="1"/>
  <c r="AW221"/>
  <c r="AW220" s="1"/>
  <c r="AW225" s="1"/>
  <c r="V26"/>
  <c r="AF215"/>
  <c r="Z218"/>
  <c r="Z219" s="1"/>
  <c r="Y218"/>
  <c r="Y219" s="1"/>
  <c r="V30"/>
  <c r="AF216"/>
  <c r="AD482"/>
  <c r="AD483" s="1"/>
  <c r="W218"/>
  <c r="W219" s="1"/>
  <c r="V25"/>
  <c r="AF214"/>
  <c r="Y269"/>
  <c r="Z270"/>
  <c r="X270"/>
  <c r="W270"/>
  <c r="M225"/>
  <c r="M218" s="1"/>
  <c r="M219" s="1"/>
  <c r="AD220"/>
  <c r="AD225" s="1"/>
  <c r="AD218" s="1"/>
  <c r="V220"/>
  <c r="V225" s="1"/>
  <c r="AZ221" l="1"/>
  <c r="AF25"/>
  <c r="AW214"/>
  <c r="AW25" s="1"/>
  <c r="AF30"/>
  <c r="AW216"/>
  <c r="AW30" s="1"/>
  <c r="AF26"/>
  <c r="AW215"/>
  <c r="AW26" s="1"/>
  <c r="AZ481"/>
  <c r="V218"/>
  <c r="V219" s="1"/>
  <c r="AF218"/>
  <c r="AF219" s="1"/>
  <c r="Y270"/>
  <c r="AD219"/>
  <c r="AZ214"/>
  <c r="AZ220"/>
  <c r="AZ215" l="1"/>
  <c r="AZ216"/>
  <c r="AW218"/>
  <c r="AW219" s="1"/>
  <c r="AZ483"/>
  <c r="AZ225" l="1"/>
  <c r="AZ218"/>
  <c r="AZ219" l="1"/>
  <c r="W123" l="1"/>
  <c r="X123"/>
  <c r="X115" s="1"/>
  <c r="X116" s="1"/>
  <c r="Y123"/>
  <c r="Y115" s="1"/>
  <c r="Y116" s="1"/>
  <c r="Z123"/>
  <c r="Z115" s="1"/>
  <c r="Z116" s="1"/>
  <c r="W129"/>
  <c r="X129"/>
  <c r="Y129"/>
  <c r="Y134" s="1"/>
  <c r="Y127" s="1"/>
  <c r="Y128" s="1"/>
  <c r="Z129"/>
  <c r="Z134" s="1"/>
  <c r="Z127" s="1"/>
  <c r="Z128" s="1"/>
  <c r="W236"/>
  <c r="W231" s="1"/>
  <c r="W232" s="1"/>
  <c r="X236"/>
  <c r="X231" s="1"/>
  <c r="X232" s="1"/>
  <c r="Y236"/>
  <c r="Y231" s="1"/>
  <c r="Y232" s="1"/>
  <c r="Z236"/>
  <c r="Z231" s="1"/>
  <c r="Z232" s="1"/>
  <c r="Y337"/>
  <c r="X337"/>
  <c r="Z339"/>
  <c r="Y339"/>
  <c r="X339"/>
  <c r="W339"/>
  <c r="W171"/>
  <c r="X171"/>
  <c r="Y171"/>
  <c r="Z171"/>
  <c r="X174"/>
  <c r="Y174"/>
  <c r="Z174"/>
  <c r="X395"/>
  <c r="X390" s="1"/>
  <c r="X391" s="1"/>
  <c r="Y395"/>
  <c r="Y390" s="1"/>
  <c r="Y391" s="1"/>
  <c r="Z395"/>
  <c r="Z390" s="1"/>
  <c r="Z391" s="1"/>
  <c r="W340" l="1"/>
  <c r="W332" s="1"/>
  <c r="W333" s="1"/>
  <c r="AB339"/>
  <c r="AD339" s="1"/>
  <c r="AB337"/>
  <c r="W115"/>
  <c r="W116" s="1"/>
  <c r="X340"/>
  <c r="X134"/>
  <c r="X127" s="1"/>
  <c r="X128" s="1"/>
  <c r="W134"/>
  <c r="W127" s="1"/>
  <c r="W128" s="1"/>
  <c r="Z340"/>
  <c r="Y340"/>
  <c r="W174"/>
  <c r="W387" s="1"/>
  <c r="W395"/>
  <c r="T172"/>
  <c r="Q174"/>
  <c r="Q170" s="1"/>
  <c r="Q171" s="1"/>
  <c r="H174"/>
  <c r="H170" s="1"/>
  <c r="H171" s="1"/>
  <c r="AD173"/>
  <c r="S173"/>
  <c r="S174" s="1"/>
  <c r="S170" s="1"/>
  <c r="S171" s="1"/>
  <c r="R173"/>
  <c r="R174" s="1"/>
  <c r="R170" s="1"/>
  <c r="R171" s="1"/>
  <c r="O173"/>
  <c r="V173" s="1"/>
  <c r="AF173" s="1"/>
  <c r="AW173" s="1"/>
  <c r="L174"/>
  <c r="L170" s="1"/>
  <c r="L171" s="1"/>
  <c r="K174"/>
  <c r="K170" s="1"/>
  <c r="K171" s="1"/>
  <c r="J174"/>
  <c r="J170" s="1"/>
  <c r="J171" s="1"/>
  <c r="I174"/>
  <c r="I170" s="1"/>
  <c r="AD172"/>
  <c r="U172"/>
  <c r="U174" s="1"/>
  <c r="U387" s="1"/>
  <c r="O172"/>
  <c r="M172"/>
  <c r="AD169"/>
  <c r="T169"/>
  <c r="O169"/>
  <c r="V169" s="1"/>
  <c r="AF169" s="1"/>
  <c r="AW169" s="1"/>
  <c r="M169"/>
  <c r="AD168"/>
  <c r="T168"/>
  <c r="O168"/>
  <c r="M168"/>
  <c r="T196"/>
  <c r="V196"/>
  <c r="AF196" s="1"/>
  <c r="AW196" s="1"/>
  <c r="AD196"/>
  <c r="T197"/>
  <c r="V197"/>
  <c r="AF197" s="1"/>
  <c r="AW197" s="1"/>
  <c r="AD197"/>
  <c r="AD198"/>
  <c r="AZ198" s="1"/>
  <c r="AD226"/>
  <c r="M227"/>
  <c r="O227"/>
  <c r="T227"/>
  <c r="AD227"/>
  <c r="M228"/>
  <c r="O228"/>
  <c r="T228"/>
  <c r="AD228"/>
  <c r="M229"/>
  <c r="O229"/>
  <c r="T229"/>
  <c r="AD229"/>
  <c r="M233"/>
  <c r="O233"/>
  <c r="V233" s="1"/>
  <c r="AF233" s="1"/>
  <c r="AW233" s="1"/>
  <c r="Q233"/>
  <c r="R233"/>
  <c r="S233"/>
  <c r="AD233"/>
  <c r="M234"/>
  <c r="O234"/>
  <c r="V234" s="1"/>
  <c r="AF234" s="1"/>
  <c r="AW234" s="1"/>
  <c r="Q234"/>
  <c r="R234"/>
  <c r="S234"/>
  <c r="AD234"/>
  <c r="M235"/>
  <c r="O235"/>
  <c r="V235" s="1"/>
  <c r="AF235" s="1"/>
  <c r="AW235" s="1"/>
  <c r="Q235"/>
  <c r="R235"/>
  <c r="S235"/>
  <c r="AD235"/>
  <c r="AB340" l="1"/>
  <c r="AD337"/>
  <c r="AD340" s="1"/>
  <c r="AD332" s="1"/>
  <c r="AW236"/>
  <c r="AF236"/>
  <c r="Z332"/>
  <c r="Z333" s="1"/>
  <c r="Y332"/>
  <c r="X332"/>
  <c r="W390"/>
  <c r="W391" s="1"/>
  <c r="AZ233"/>
  <c r="V229"/>
  <c r="AF229" s="1"/>
  <c r="AW229" s="1"/>
  <c r="V228"/>
  <c r="V227"/>
  <c r="AF227" s="1"/>
  <c r="AW227" s="1"/>
  <c r="T233"/>
  <c r="AZ234"/>
  <c r="AZ235"/>
  <c r="AD171"/>
  <c r="R387"/>
  <c r="T234"/>
  <c r="S387"/>
  <c r="AD236"/>
  <c r="AD174"/>
  <c r="Q387"/>
  <c r="O174"/>
  <c r="O170" s="1"/>
  <c r="O171" s="1"/>
  <c r="T173"/>
  <c r="T174" s="1"/>
  <c r="T235"/>
  <c r="U170"/>
  <c r="U171" s="1"/>
  <c r="I171"/>
  <c r="M170"/>
  <c r="M171" s="1"/>
  <c r="V168"/>
  <c r="N174"/>
  <c r="N170" s="1"/>
  <c r="N171" s="1"/>
  <c r="V172"/>
  <c r="M173"/>
  <c r="M174" s="1"/>
  <c r="P174"/>
  <c r="AW231" l="1"/>
  <c r="AB332"/>
  <c r="AB33"/>
  <c r="AF228"/>
  <c r="AW228" s="1"/>
  <c r="AZ228" s="1"/>
  <c r="AF168"/>
  <c r="AW168" s="1"/>
  <c r="AF172"/>
  <c r="X333"/>
  <c r="Y333"/>
  <c r="AD231"/>
  <c r="P170"/>
  <c r="P387"/>
  <c r="T170"/>
  <c r="V174"/>
  <c r="V170" s="1"/>
  <c r="AF170" s="1"/>
  <c r="AB333" l="1"/>
  <c r="AB32"/>
  <c r="AF231"/>
  <c r="AF232" s="1"/>
  <c r="AW232"/>
  <c r="AF171"/>
  <c r="AW170"/>
  <c r="AF174"/>
  <c r="AW172"/>
  <c r="AW174" s="1"/>
  <c r="AW171"/>
  <c r="AZ227"/>
  <c r="AZ229"/>
  <c r="V171"/>
  <c r="AD232"/>
  <c r="P171"/>
  <c r="T171"/>
  <c r="AZ375" l="1"/>
  <c r="AZ46"/>
  <c r="AZ45"/>
  <c r="AZ44"/>
  <c r="AZ43"/>
  <c r="AZ42"/>
  <c r="AZ41"/>
  <c r="AZ40"/>
  <c r="AZ39"/>
  <c r="AZ38"/>
  <c r="AZ37"/>
  <c r="AZ36"/>
  <c r="AZ14"/>
  <c r="W71"/>
  <c r="W76" s="1"/>
  <c r="W33" s="1"/>
  <c r="X71"/>
  <c r="Y71"/>
  <c r="Z71"/>
  <c r="Z76" s="1"/>
  <c r="Z33" s="1"/>
  <c r="X76"/>
  <c r="X33" s="1"/>
  <c r="Y76"/>
  <c r="Y33" s="1"/>
  <c r="AD504"/>
  <c r="AD503"/>
  <c r="AD500"/>
  <c r="AD499"/>
  <c r="AD498"/>
  <c r="AZ488"/>
  <c r="AD476"/>
  <c r="AD475"/>
  <c r="AD474"/>
  <c r="AD471"/>
  <c r="AD470"/>
  <c r="AD469"/>
  <c r="AD468"/>
  <c r="AD466"/>
  <c r="AD465"/>
  <c r="AD464"/>
  <c r="AD461"/>
  <c r="AD460"/>
  <c r="AD459"/>
  <c r="AD458"/>
  <c r="AD456"/>
  <c r="AD455"/>
  <c r="AD454"/>
  <c r="AD451"/>
  <c r="AD450"/>
  <c r="AD449"/>
  <c r="AD447"/>
  <c r="AD446"/>
  <c r="AD445"/>
  <c r="AD441"/>
  <c r="AD440"/>
  <c r="AD439"/>
  <c r="AD438"/>
  <c r="AZ438" s="1"/>
  <c r="AD436"/>
  <c r="AD435"/>
  <c r="AD432"/>
  <c r="AD431"/>
  <c r="AD394"/>
  <c r="AD393"/>
  <c r="AD392"/>
  <c r="AD389"/>
  <c r="AD388"/>
  <c r="AD387"/>
  <c r="AD386"/>
  <c r="AZ386" s="1"/>
  <c r="AD376"/>
  <c r="AZ376" s="1"/>
  <c r="AD374"/>
  <c r="AD373"/>
  <c r="AD372"/>
  <c r="AZ372" s="1"/>
  <c r="AD357"/>
  <c r="AZ357" s="1"/>
  <c r="AD355"/>
  <c r="AD353"/>
  <c r="AD352"/>
  <c r="AZ352" s="1"/>
  <c r="AD349"/>
  <c r="AD348"/>
  <c r="AD347"/>
  <c r="AD344"/>
  <c r="AD343"/>
  <c r="AD342"/>
  <c r="AD341"/>
  <c r="AD320"/>
  <c r="AD319"/>
  <c r="AD318"/>
  <c r="AD312"/>
  <c r="AD311"/>
  <c r="AD310"/>
  <c r="AD308"/>
  <c r="AD307"/>
  <c r="AD306"/>
  <c r="AD303"/>
  <c r="AD302"/>
  <c r="AD301"/>
  <c r="AD299"/>
  <c r="AD298"/>
  <c r="AD297"/>
  <c r="AD295"/>
  <c r="AD294"/>
  <c r="AD293"/>
  <c r="AD292"/>
  <c r="AD290"/>
  <c r="AD289"/>
  <c r="AD288"/>
  <c r="AD285"/>
  <c r="AD284"/>
  <c r="AD283"/>
  <c r="AD273"/>
  <c r="AD272"/>
  <c r="AD271"/>
  <c r="AD268"/>
  <c r="AD267"/>
  <c r="AD266"/>
  <c r="AD264"/>
  <c r="AD263"/>
  <c r="AD262"/>
  <c r="AD259"/>
  <c r="AD258"/>
  <c r="AD257"/>
  <c r="AD256"/>
  <c r="AD255"/>
  <c r="AD254"/>
  <c r="AD253"/>
  <c r="AZ253" s="1"/>
  <c r="AD248"/>
  <c r="AD247"/>
  <c r="AD246"/>
  <c r="AD240"/>
  <c r="AD239"/>
  <c r="AD238"/>
  <c r="AD156"/>
  <c r="AD151"/>
  <c r="AD150"/>
  <c r="AD149"/>
  <c r="AD135"/>
  <c r="AD133"/>
  <c r="AD132"/>
  <c r="AD131"/>
  <c r="AD130"/>
  <c r="AD126"/>
  <c r="AD125"/>
  <c r="AD124"/>
  <c r="AD122"/>
  <c r="AD121"/>
  <c r="AD120"/>
  <c r="AD119"/>
  <c r="AD118"/>
  <c r="AD117"/>
  <c r="AD114"/>
  <c r="AD113"/>
  <c r="AD112"/>
  <c r="AD109"/>
  <c r="AD108"/>
  <c r="AD107"/>
  <c r="AD106"/>
  <c r="AD105"/>
  <c r="AD104"/>
  <c r="AD99"/>
  <c r="AD98"/>
  <c r="AD97"/>
  <c r="AD96"/>
  <c r="AD95"/>
  <c r="AD94"/>
  <c r="AD93"/>
  <c r="AD92"/>
  <c r="AD91"/>
  <c r="AD90"/>
  <c r="AD89"/>
  <c r="AD77"/>
  <c r="AD74"/>
  <c r="AD73"/>
  <c r="AD72"/>
  <c r="AD68"/>
  <c r="AD67"/>
  <c r="AD66"/>
  <c r="AD265" l="1"/>
  <c r="AD18"/>
  <c r="AD34"/>
  <c r="AD15"/>
  <c r="AD20"/>
  <c r="AD17"/>
  <c r="AD19"/>
  <c r="AD16"/>
  <c r="AD291"/>
  <c r="AD286" s="1"/>
  <c r="AD287" s="1"/>
  <c r="AD300"/>
  <c r="AD296" s="1"/>
  <c r="AD324"/>
  <c r="AD316" s="1"/>
  <c r="AD252"/>
  <c r="AD309"/>
  <c r="AD304" s="1"/>
  <c r="AD305" s="1"/>
  <c r="AD457"/>
  <c r="AD452" s="1"/>
  <c r="AD453" s="1"/>
  <c r="AD448"/>
  <c r="AD443" s="1"/>
  <c r="AD444" s="1"/>
  <c r="AD477"/>
  <c r="AD472" s="1"/>
  <c r="AD473" s="1"/>
  <c r="AD463"/>
  <c r="AD462" s="1"/>
  <c r="AD467"/>
  <c r="AD505"/>
  <c r="AD501" s="1"/>
  <c r="AD502" s="1"/>
  <c r="AD354"/>
  <c r="AD129"/>
  <c r="AD134" s="1"/>
  <c r="AD127" s="1"/>
  <c r="AD128" s="1"/>
  <c r="AD437"/>
  <c r="AD433" s="1"/>
  <c r="AD434" s="1"/>
  <c r="AD274"/>
  <c r="AD269" s="1"/>
  <c r="AD270" s="1"/>
  <c r="AD350"/>
  <c r="AD345" s="1"/>
  <c r="AD346" s="1"/>
  <c r="AD123"/>
  <c r="AD115" s="1"/>
  <c r="AD116" s="1"/>
  <c r="Y69"/>
  <c r="Y32" s="1"/>
  <c r="W69"/>
  <c r="W32" s="1"/>
  <c r="AD395"/>
  <c r="AD71"/>
  <c r="AD76" s="1"/>
  <c r="Z69"/>
  <c r="Z32" s="1"/>
  <c r="X69"/>
  <c r="X32" s="1"/>
  <c r="AD69" l="1"/>
  <c r="AD33"/>
  <c r="AD244"/>
  <c r="AD245"/>
  <c r="Y70"/>
  <c r="AD260"/>
  <c r="W70"/>
  <c r="AD390"/>
  <c r="AZ341"/>
  <c r="X70"/>
  <c r="Z70"/>
  <c r="AZ156"/>
  <c r="AZ77"/>
  <c r="AD70" l="1"/>
  <c r="AD32"/>
  <c r="AD261"/>
  <c r="AD333"/>
  <c r="AD391"/>
  <c r="AD317"/>
  <c r="U446" l="1"/>
  <c r="U499" l="1"/>
  <c r="U498"/>
  <c r="U500"/>
  <c r="S432" l="1"/>
  <c r="R432"/>
  <c r="Q432"/>
  <c r="P432"/>
  <c r="T433"/>
  <c r="V431"/>
  <c r="AF431" s="1"/>
  <c r="U432"/>
  <c r="V436"/>
  <c r="AF436" s="1"/>
  <c r="AW436" s="1"/>
  <c r="U435"/>
  <c r="U437" s="1"/>
  <c r="U89"/>
  <c r="U330"/>
  <c r="U240"/>
  <c r="U328"/>
  <c r="U238"/>
  <c r="U310"/>
  <c r="U91"/>
  <c r="U126"/>
  <c r="U505"/>
  <c r="U501" s="1"/>
  <c r="U502" s="1"/>
  <c r="U477"/>
  <c r="U467"/>
  <c r="U457"/>
  <c r="U452" s="1"/>
  <c r="U453" s="1"/>
  <c r="U448"/>
  <c r="U395"/>
  <c r="U354"/>
  <c r="U350"/>
  <c r="U345" s="1"/>
  <c r="U346" s="1"/>
  <c r="V149"/>
  <c r="AF149" s="1"/>
  <c r="AW149" s="1"/>
  <c r="U117"/>
  <c r="U123" s="1"/>
  <c r="U115" s="1"/>
  <c r="U116" s="1"/>
  <c r="U94"/>
  <c r="U99" s="1"/>
  <c r="U129"/>
  <c r="U134" s="1"/>
  <c r="U340"/>
  <c r="U71"/>
  <c r="U76" s="1"/>
  <c r="U69" s="1"/>
  <c r="U70" s="1"/>
  <c r="AW431" l="1"/>
  <c r="AZ431" s="1"/>
  <c r="U13"/>
  <c r="U20"/>
  <c r="U11"/>
  <c r="U9"/>
  <c r="U18"/>
  <c r="AZ436"/>
  <c r="U433"/>
  <c r="U434" s="1"/>
  <c r="U127"/>
  <c r="V435"/>
  <c r="AF435" s="1"/>
  <c r="U332"/>
  <c r="U333" s="1"/>
  <c r="U92"/>
  <c r="U93" s="1"/>
  <c r="P281"/>
  <c r="P282" s="1"/>
  <c r="P278" s="1"/>
  <c r="P279" s="1"/>
  <c r="P122"/>
  <c r="U324"/>
  <c r="U316" s="1"/>
  <c r="U317" s="1"/>
  <c r="U309"/>
  <c r="U304" s="1"/>
  <c r="U300"/>
  <c r="U295" s="1"/>
  <c r="AF437" l="1"/>
  <c r="AW435"/>
  <c r="AW437" s="1"/>
  <c r="V437"/>
  <c r="U128"/>
  <c r="U296"/>
  <c r="U461"/>
  <c r="U463" s="1"/>
  <c r="U462" s="1"/>
  <c r="U305"/>
  <c r="U471"/>
  <c r="U473" s="1"/>
  <c r="U472" s="1"/>
  <c r="U291"/>
  <c r="U286" s="1"/>
  <c r="U274"/>
  <c r="U269" s="1"/>
  <c r="U270" s="1"/>
  <c r="U265"/>
  <c r="U260" s="1"/>
  <c r="U261" s="1"/>
  <c r="V253"/>
  <c r="V34" s="1"/>
  <c r="U252"/>
  <c r="U244" s="1"/>
  <c r="U245" s="1"/>
  <c r="T253"/>
  <c r="U236"/>
  <c r="U231" s="1"/>
  <c r="U232" s="1"/>
  <c r="U34"/>
  <c r="U33" l="1"/>
  <c r="AZ435"/>
  <c r="U390"/>
  <c r="U391" s="1"/>
  <c r="U287"/>
  <c r="U442"/>
  <c r="U443" s="1"/>
  <c r="U444" s="1"/>
  <c r="U32"/>
  <c r="P355" l="1"/>
  <c r="O388"/>
  <c r="V388" s="1"/>
  <c r="AF388" s="1"/>
  <c r="AW388" s="1"/>
  <c r="T388"/>
  <c r="AZ388" l="1"/>
  <c r="P328"/>
  <c r="P18" s="1"/>
  <c r="S395"/>
  <c r="R395"/>
  <c r="Q395"/>
  <c r="P395"/>
  <c r="N395"/>
  <c r="N390" s="1"/>
  <c r="J395"/>
  <c r="I395"/>
  <c r="T393"/>
  <c r="O393"/>
  <c r="V393" s="1"/>
  <c r="AF393" s="1"/>
  <c r="AW393" s="1"/>
  <c r="L395"/>
  <c r="T392"/>
  <c r="O392"/>
  <c r="V392" s="1"/>
  <c r="AF392" s="1"/>
  <c r="AW392" s="1"/>
  <c r="T389"/>
  <c r="O389"/>
  <c r="V389" s="1"/>
  <c r="AF389" s="1"/>
  <c r="AW389" s="1"/>
  <c r="S437"/>
  <c r="R437"/>
  <c r="Q437"/>
  <c r="P437"/>
  <c r="O437"/>
  <c r="N437"/>
  <c r="M437"/>
  <c r="L437"/>
  <c r="K437"/>
  <c r="J437"/>
  <c r="I437"/>
  <c r="H437"/>
  <c r="T436"/>
  <c r="T435"/>
  <c r="M434"/>
  <c r="L434"/>
  <c r="K434"/>
  <c r="J434"/>
  <c r="I434"/>
  <c r="T431"/>
  <c r="R390" l="1"/>
  <c r="AZ389"/>
  <c r="AZ393"/>
  <c r="AZ437"/>
  <c r="T437"/>
  <c r="S390"/>
  <c r="K395"/>
  <c r="O394"/>
  <c r="T394"/>
  <c r="H395"/>
  <c r="H390" s="1"/>
  <c r="AD22"/>
  <c r="AD23"/>
  <c r="AD24"/>
  <c r="O257"/>
  <c r="O22" s="1"/>
  <c r="O258"/>
  <c r="O23" s="1"/>
  <c r="O259"/>
  <c r="O24" s="1"/>
  <c r="T257"/>
  <c r="T22" s="1"/>
  <c r="T258"/>
  <c r="T23" s="1"/>
  <c r="T259"/>
  <c r="T24" s="1"/>
  <c r="T328"/>
  <c r="T329"/>
  <c r="T330"/>
  <c r="O328"/>
  <c r="V328" s="1"/>
  <c r="AF328" s="1"/>
  <c r="AW328" s="1"/>
  <c r="O329"/>
  <c r="V329" s="1"/>
  <c r="AF329" s="1"/>
  <c r="AW329" s="1"/>
  <c r="O330"/>
  <c r="V330" s="1"/>
  <c r="AF330" s="1"/>
  <c r="AW330" s="1"/>
  <c r="O337"/>
  <c r="V337" s="1"/>
  <c r="AF337" s="1"/>
  <c r="AW337" s="1"/>
  <c r="O338"/>
  <c r="V338" s="1"/>
  <c r="AF338" s="1"/>
  <c r="AW338" s="1"/>
  <c r="O339"/>
  <c r="V339" s="1"/>
  <c r="AF339" s="1"/>
  <c r="AW339" s="1"/>
  <c r="P337"/>
  <c r="T337" s="1"/>
  <c r="S340"/>
  <c r="S332" s="1"/>
  <c r="S333" s="1"/>
  <c r="R340"/>
  <c r="R332" s="1"/>
  <c r="Q340"/>
  <c r="Q332" s="1"/>
  <c r="N340"/>
  <c r="N332" s="1"/>
  <c r="H340"/>
  <c r="H332" s="1"/>
  <c r="T338"/>
  <c r="T339"/>
  <c r="T336"/>
  <c r="R499"/>
  <c r="P498"/>
  <c r="R503"/>
  <c r="R151"/>
  <c r="R150" s="1"/>
  <c r="AZ392" l="1"/>
  <c r="V259"/>
  <c r="AZ338"/>
  <c r="AZ328"/>
  <c r="AZ339"/>
  <c r="AZ329"/>
  <c r="AZ330"/>
  <c r="AZ337"/>
  <c r="V257"/>
  <c r="V258"/>
  <c r="O395"/>
  <c r="V394"/>
  <c r="T395"/>
  <c r="M395"/>
  <c r="P340"/>
  <c r="P332" s="1"/>
  <c r="AF394" l="1"/>
  <c r="V23"/>
  <c r="AF258"/>
  <c r="V24"/>
  <c r="AF259"/>
  <c r="V22"/>
  <c r="AF257"/>
  <c r="V395"/>
  <c r="P106"/>
  <c r="P107"/>
  <c r="P475"/>
  <c r="T475" s="1"/>
  <c r="S309"/>
  <c r="S304" s="1"/>
  <c r="S305" s="1"/>
  <c r="R309"/>
  <c r="R304" s="1"/>
  <c r="R305" s="1"/>
  <c r="Q309"/>
  <c r="Q304" s="1"/>
  <c r="Q305" s="1"/>
  <c r="N309"/>
  <c r="L309"/>
  <c r="K309"/>
  <c r="J309"/>
  <c r="I309"/>
  <c r="H309"/>
  <c r="T308"/>
  <c r="O308"/>
  <c r="V308" s="1"/>
  <c r="AF308" s="1"/>
  <c r="AW308" s="1"/>
  <c r="M308"/>
  <c r="P309"/>
  <c r="P304" s="1"/>
  <c r="P305" s="1"/>
  <c r="O307"/>
  <c r="V307" s="1"/>
  <c r="AF307" s="1"/>
  <c r="AW307" s="1"/>
  <c r="M307"/>
  <c r="T306"/>
  <c r="O306"/>
  <c r="V306" s="1"/>
  <c r="AF306" s="1"/>
  <c r="AW306" s="1"/>
  <c r="M306"/>
  <c r="N305"/>
  <c r="L305"/>
  <c r="K305"/>
  <c r="J305"/>
  <c r="I305"/>
  <c r="H305"/>
  <c r="T303"/>
  <c r="O303"/>
  <c r="V303" s="1"/>
  <c r="AF303" s="1"/>
  <c r="AW303" s="1"/>
  <c r="T302"/>
  <c r="O302"/>
  <c r="V302" s="1"/>
  <c r="AF302" s="1"/>
  <c r="AW302" s="1"/>
  <c r="M302"/>
  <c r="T301"/>
  <c r="O301"/>
  <c r="V301" s="1"/>
  <c r="AF301" s="1"/>
  <c r="AW301" s="1"/>
  <c r="M301"/>
  <c r="S477"/>
  <c r="R477"/>
  <c r="N477"/>
  <c r="K477"/>
  <c r="J477"/>
  <c r="T476"/>
  <c r="O476"/>
  <c r="V476" s="1"/>
  <c r="AF476" s="1"/>
  <c r="AW476" s="1"/>
  <c r="M476"/>
  <c r="M477" s="1"/>
  <c r="Q477"/>
  <c r="L477"/>
  <c r="I477"/>
  <c r="H477"/>
  <c r="O474"/>
  <c r="V474" s="1"/>
  <c r="AF474" s="1"/>
  <c r="S473"/>
  <c r="S472" s="1"/>
  <c r="R473"/>
  <c r="R472" s="1"/>
  <c r="Q473"/>
  <c r="Q472" s="1"/>
  <c r="T470"/>
  <c r="O470"/>
  <c r="V470" s="1"/>
  <c r="AF470" s="1"/>
  <c r="AW470" s="1"/>
  <c r="M470"/>
  <c r="T469"/>
  <c r="O469"/>
  <c r="V469" s="1"/>
  <c r="AF469" s="1"/>
  <c r="AW469" s="1"/>
  <c r="M469"/>
  <c r="O468"/>
  <c r="V468" s="1"/>
  <c r="AF468" s="1"/>
  <c r="AW468" s="1"/>
  <c r="M468"/>
  <c r="AF24" l="1"/>
  <c r="AW259"/>
  <c r="AW24" s="1"/>
  <c r="AZ24" s="1"/>
  <c r="AF395"/>
  <c r="AW394"/>
  <c r="AW395" s="1"/>
  <c r="AW474"/>
  <c r="AF22"/>
  <c r="AW257"/>
  <c r="AW22" s="1"/>
  <c r="AF23"/>
  <c r="AW258"/>
  <c r="AW23" s="1"/>
  <c r="AZ23" s="1"/>
  <c r="AW309"/>
  <c r="AW304" s="1"/>
  <c r="AW305" s="1"/>
  <c r="AF309"/>
  <c r="AF304" s="1"/>
  <c r="AF305" s="1"/>
  <c r="AF471"/>
  <c r="AW471" s="1"/>
  <c r="AZ468"/>
  <c r="AZ302"/>
  <c r="AZ476"/>
  <c r="AZ469"/>
  <c r="AZ303"/>
  <c r="AZ470"/>
  <c r="AZ301"/>
  <c r="AZ308"/>
  <c r="AZ257"/>
  <c r="AZ22"/>
  <c r="V309"/>
  <c r="V304" s="1"/>
  <c r="P471"/>
  <c r="P473" s="1"/>
  <c r="P472" s="1"/>
  <c r="T472" s="1"/>
  <c r="M305"/>
  <c r="O309"/>
  <c r="O304" s="1"/>
  <c r="O305" s="1"/>
  <c r="M309"/>
  <c r="P477"/>
  <c r="T477" s="1"/>
  <c r="T307"/>
  <c r="T468"/>
  <c r="T474"/>
  <c r="O475"/>
  <c r="V475" s="1"/>
  <c r="AZ394" l="1"/>
  <c r="AZ258"/>
  <c r="AZ259"/>
  <c r="AZ306"/>
  <c r="AZ395"/>
  <c r="AF475"/>
  <c r="V477"/>
  <c r="AZ307"/>
  <c r="AZ474"/>
  <c r="T473"/>
  <c r="T471"/>
  <c r="T309"/>
  <c r="T304" s="1"/>
  <c r="T305" s="1"/>
  <c r="O477"/>
  <c r="O471" s="1"/>
  <c r="AW475" l="1"/>
  <c r="AF477"/>
  <c r="AF472" s="1"/>
  <c r="AF473" s="1"/>
  <c r="V305"/>
  <c r="O473"/>
  <c r="O472" s="1"/>
  <c r="V471"/>
  <c r="AW477" l="1"/>
  <c r="AW472" s="1"/>
  <c r="AW473" s="1"/>
  <c r="AZ475"/>
  <c r="V472"/>
  <c r="V473" s="1"/>
  <c r="AZ304"/>
  <c r="AZ309"/>
  <c r="AZ477" l="1"/>
  <c r="AZ471"/>
  <c r="AZ305"/>
  <c r="S446"/>
  <c r="S448" s="1"/>
  <c r="R446"/>
  <c r="R448" s="1"/>
  <c r="Q446"/>
  <c r="Q448" s="1"/>
  <c r="H446"/>
  <c r="H448" s="1"/>
  <c r="T447"/>
  <c r="T445"/>
  <c r="T441"/>
  <c r="T440"/>
  <c r="T439"/>
  <c r="O447"/>
  <c r="V447" s="1"/>
  <c r="AF447" s="1"/>
  <c r="AW447" s="1"/>
  <c r="O445"/>
  <c r="V445" s="1"/>
  <c r="AF445" s="1"/>
  <c r="O441"/>
  <c r="V441" s="1"/>
  <c r="AF441" s="1"/>
  <c r="AW441" s="1"/>
  <c r="O440"/>
  <c r="V440" s="1"/>
  <c r="AF440" s="1"/>
  <c r="AW440" s="1"/>
  <c r="O439"/>
  <c r="V439" s="1"/>
  <c r="AF439" s="1"/>
  <c r="AW439" s="1"/>
  <c r="AW445" l="1"/>
  <c r="AZ447"/>
  <c r="AZ441"/>
  <c r="AZ439"/>
  <c r="AZ440"/>
  <c r="N289"/>
  <c r="N446" s="1"/>
  <c r="T456"/>
  <c r="O456" s="1"/>
  <c r="T455"/>
  <c r="T454"/>
  <c r="T451"/>
  <c r="O451" s="1"/>
  <c r="T450"/>
  <c r="T449"/>
  <c r="O455"/>
  <c r="V455" s="1"/>
  <c r="AF455" s="1"/>
  <c r="AW455" s="1"/>
  <c r="O450"/>
  <c r="V450" s="1"/>
  <c r="AF450" s="1"/>
  <c r="AW450" s="1"/>
  <c r="S457"/>
  <c r="S452" s="1"/>
  <c r="S453" s="1"/>
  <c r="R457"/>
  <c r="R452" s="1"/>
  <c r="R453" s="1"/>
  <c r="Q457"/>
  <c r="Q452" s="1"/>
  <c r="Q453" s="1"/>
  <c r="P457"/>
  <c r="P452" s="1"/>
  <c r="P453" s="1"/>
  <c r="H457"/>
  <c r="H452" s="1"/>
  <c r="H453" s="1"/>
  <c r="AZ445" l="1"/>
  <c r="AZ455"/>
  <c r="AZ450"/>
  <c r="O449"/>
  <c r="V451"/>
  <c r="AF451" s="1"/>
  <c r="AW451" s="1"/>
  <c r="V456"/>
  <c r="AF456" s="1"/>
  <c r="AW456" s="1"/>
  <c r="O446"/>
  <c r="V446" s="1"/>
  <c r="N448"/>
  <c r="T457"/>
  <c r="T452" s="1"/>
  <c r="T453" s="1"/>
  <c r="AF446" l="1"/>
  <c r="AZ456"/>
  <c r="AZ451"/>
  <c r="V448"/>
  <c r="V454"/>
  <c r="AF454" s="1"/>
  <c r="V449"/>
  <c r="O448"/>
  <c r="O457"/>
  <c r="O452" s="1"/>
  <c r="O453" s="1"/>
  <c r="N457"/>
  <c r="N452" s="1"/>
  <c r="N453" s="1"/>
  <c r="AF457" l="1"/>
  <c r="AW454"/>
  <c r="AW457" s="1"/>
  <c r="AW446"/>
  <c r="AW448" s="1"/>
  <c r="AZ448" s="1"/>
  <c r="AF448"/>
  <c r="AF449"/>
  <c r="V457"/>
  <c r="AF452" l="1"/>
  <c r="AF453" s="1"/>
  <c r="AZ446"/>
  <c r="AW449"/>
  <c r="AZ454"/>
  <c r="V452"/>
  <c r="N353"/>
  <c r="N21" s="1"/>
  <c r="AZ449" l="1"/>
  <c r="AW452"/>
  <c r="AZ452" s="1"/>
  <c r="AZ457"/>
  <c r="V453"/>
  <c r="T374"/>
  <c r="T373"/>
  <c r="O374"/>
  <c r="V374" s="1"/>
  <c r="AF374" s="1"/>
  <c r="AW374" s="1"/>
  <c r="O373"/>
  <c r="R504"/>
  <c r="Q504"/>
  <c r="N499"/>
  <c r="N498"/>
  <c r="AW453" l="1"/>
  <c r="AZ453" s="1"/>
  <c r="AZ374"/>
  <c r="V373"/>
  <c r="AF373" s="1"/>
  <c r="AW373" s="1"/>
  <c r="AZ373" l="1"/>
  <c r="N500" l="1"/>
  <c r="H500"/>
  <c r="Q499"/>
  <c r="P499"/>
  <c r="T498"/>
  <c r="P504"/>
  <c r="Q503"/>
  <c r="P503"/>
  <c r="S500"/>
  <c r="S502" s="1"/>
  <c r="O498"/>
  <c r="V498" s="1"/>
  <c r="AF498" s="1"/>
  <c r="AW498" s="1"/>
  <c r="O499"/>
  <c r="V499" s="1"/>
  <c r="AF499" s="1"/>
  <c r="AW499" s="1"/>
  <c r="N504"/>
  <c r="S505"/>
  <c r="AZ498" l="1"/>
  <c r="AZ499"/>
  <c r="O500"/>
  <c r="V500" s="1"/>
  <c r="AF500" s="1"/>
  <c r="AW500" s="1"/>
  <c r="T499"/>
  <c r="R505"/>
  <c r="T504"/>
  <c r="Q505"/>
  <c r="T503"/>
  <c r="P505"/>
  <c r="O504"/>
  <c r="V504" s="1"/>
  <c r="AF504" s="1"/>
  <c r="AW504" s="1"/>
  <c r="P460"/>
  <c r="T460" s="1"/>
  <c r="P466"/>
  <c r="T466" s="1"/>
  <c r="P458"/>
  <c r="T458" s="1"/>
  <c r="P464"/>
  <c r="T464" s="1"/>
  <c r="T459"/>
  <c r="AZ504" l="1"/>
  <c r="AZ500"/>
  <c r="T505"/>
  <c r="S465"/>
  <c r="R465"/>
  <c r="Q465"/>
  <c r="N465"/>
  <c r="L465"/>
  <c r="K465"/>
  <c r="J465"/>
  <c r="I465"/>
  <c r="H465"/>
  <c r="M466"/>
  <c r="N34"/>
  <c r="AD21"/>
  <c r="AD13"/>
  <c r="AD12"/>
  <c r="AD11"/>
  <c r="AD10"/>
  <c r="AD9"/>
  <c r="I34"/>
  <c r="J34"/>
  <c r="K34"/>
  <c r="L34"/>
  <c r="O34"/>
  <c r="P34"/>
  <c r="Q34"/>
  <c r="R34"/>
  <c r="S34"/>
  <c r="AZ34"/>
  <c r="H34"/>
  <c r="S467" l="1"/>
  <c r="R467"/>
  <c r="Q467"/>
  <c r="N467"/>
  <c r="L467"/>
  <c r="K467"/>
  <c r="J467"/>
  <c r="I467"/>
  <c r="H467"/>
  <c r="O466"/>
  <c r="V466" s="1"/>
  <c r="AF466" s="1"/>
  <c r="AW466" s="1"/>
  <c r="O465"/>
  <c r="V465" s="1"/>
  <c r="AF465" s="1"/>
  <c r="AW465" s="1"/>
  <c r="O464"/>
  <c r="V464" s="1"/>
  <c r="AF464" s="1"/>
  <c r="M464"/>
  <c r="O460"/>
  <c r="V460" s="1"/>
  <c r="AF460" s="1"/>
  <c r="AW460" s="1"/>
  <c r="M460"/>
  <c r="O459"/>
  <c r="V459" s="1"/>
  <c r="AF459" s="1"/>
  <c r="AW459" s="1"/>
  <c r="M459"/>
  <c r="O458"/>
  <c r="V458" s="1"/>
  <c r="AF458" s="1"/>
  <c r="M458"/>
  <c r="AW458" l="1"/>
  <c r="AF467"/>
  <c r="AW464"/>
  <c r="AW467" s="1"/>
  <c r="AZ460"/>
  <c r="AZ466"/>
  <c r="AZ459"/>
  <c r="V467"/>
  <c r="O467"/>
  <c r="O461" s="1"/>
  <c r="AZ464" l="1"/>
  <c r="AZ458"/>
  <c r="AZ465"/>
  <c r="AZ467"/>
  <c r="O463"/>
  <c r="O462" s="1"/>
  <c r="V461"/>
  <c r="P298"/>
  <c r="P465" s="1"/>
  <c r="S300"/>
  <c r="S295" s="1"/>
  <c r="R300"/>
  <c r="R295" s="1"/>
  <c r="Q300"/>
  <c r="Q295" s="1"/>
  <c r="N300"/>
  <c r="N295" s="1"/>
  <c r="L300"/>
  <c r="L295" s="1"/>
  <c r="K300"/>
  <c r="K295" s="1"/>
  <c r="J300"/>
  <c r="J295" s="1"/>
  <c r="I300"/>
  <c r="I295" s="1"/>
  <c r="H300"/>
  <c r="H295" s="1"/>
  <c r="T299"/>
  <c r="O299"/>
  <c r="V299" s="1"/>
  <c r="AF299" s="1"/>
  <c r="AW299" s="1"/>
  <c r="M299"/>
  <c r="O298"/>
  <c r="V298" s="1"/>
  <c r="AF298" s="1"/>
  <c r="M298"/>
  <c r="M465" s="1"/>
  <c r="M467" s="1"/>
  <c r="T297"/>
  <c r="O297"/>
  <c r="V297" s="1"/>
  <c r="AF297" s="1"/>
  <c r="AW297" s="1"/>
  <c r="M297"/>
  <c r="T294"/>
  <c r="O294"/>
  <c r="V294" s="1"/>
  <c r="AF294" s="1"/>
  <c r="AW294" s="1"/>
  <c r="M294"/>
  <c r="T293"/>
  <c r="O293"/>
  <c r="V293" s="1"/>
  <c r="AF293" s="1"/>
  <c r="AW293" s="1"/>
  <c r="M293"/>
  <c r="T292"/>
  <c r="O292"/>
  <c r="V292" s="1"/>
  <c r="AF292" s="1"/>
  <c r="AW292" s="1"/>
  <c r="M292"/>
  <c r="AW298" l="1"/>
  <c r="AZ298" s="1"/>
  <c r="AF461"/>
  <c r="AF300"/>
  <c r="AF295" s="1"/>
  <c r="V300"/>
  <c r="AZ292"/>
  <c r="AZ293"/>
  <c r="AZ294"/>
  <c r="AZ299"/>
  <c r="V463"/>
  <c r="M300"/>
  <c r="M295" s="1"/>
  <c r="R296"/>
  <c r="R461"/>
  <c r="R463" s="1"/>
  <c r="R462" s="1"/>
  <c r="Q296"/>
  <c r="Q461"/>
  <c r="Q463" s="1"/>
  <c r="Q462" s="1"/>
  <c r="H296"/>
  <c r="H461"/>
  <c r="H463" s="1"/>
  <c r="H462" s="1"/>
  <c r="S296"/>
  <c r="S461"/>
  <c r="S463" s="1"/>
  <c r="S462" s="1"/>
  <c r="N296"/>
  <c r="N461"/>
  <c r="N463" s="1"/>
  <c r="N462" s="1"/>
  <c r="K296"/>
  <c r="K461"/>
  <c r="K463" s="1"/>
  <c r="K462" s="1"/>
  <c r="J296"/>
  <c r="J461"/>
  <c r="J463" s="1"/>
  <c r="J462" s="1"/>
  <c r="T465"/>
  <c r="P467"/>
  <c r="T467" s="1"/>
  <c r="L296"/>
  <c r="L461"/>
  <c r="L463" s="1"/>
  <c r="L462" s="1"/>
  <c r="I296"/>
  <c r="I461"/>
  <c r="I463" s="1"/>
  <c r="I462" s="1"/>
  <c r="O300"/>
  <c r="O295" s="1"/>
  <c r="O296" s="1"/>
  <c r="AW300" l="1"/>
  <c r="AW296" s="1"/>
  <c r="AW461"/>
  <c r="AF463"/>
  <c r="AF462" s="1"/>
  <c r="AF296"/>
  <c r="AZ297"/>
  <c r="V462"/>
  <c r="V295"/>
  <c r="M296"/>
  <c r="M461"/>
  <c r="M463" s="1"/>
  <c r="M462" s="1"/>
  <c r="P300"/>
  <c r="P295" s="1"/>
  <c r="P461" s="1"/>
  <c r="T298"/>
  <c r="AW295" l="1"/>
  <c r="AZ295" s="1"/>
  <c r="AW463"/>
  <c r="AZ461"/>
  <c r="AZ300"/>
  <c r="V296"/>
  <c r="P296"/>
  <c r="T300"/>
  <c r="T295" s="1"/>
  <c r="T296" s="1"/>
  <c r="T149"/>
  <c r="R500"/>
  <c r="Q151"/>
  <c r="Q150" s="1"/>
  <c r="Q500" s="1"/>
  <c r="Q501" s="1"/>
  <c r="Q502" s="1"/>
  <c r="P151"/>
  <c r="P150" s="1"/>
  <c r="P500" s="1"/>
  <c r="AW462" l="1"/>
  <c r="AZ463"/>
  <c r="AZ296"/>
  <c r="R501"/>
  <c r="R502" s="1"/>
  <c r="T500"/>
  <c r="P501"/>
  <c r="T461"/>
  <c r="P463"/>
  <c r="T151"/>
  <c r="T150"/>
  <c r="O151"/>
  <c r="O150"/>
  <c r="T98"/>
  <c r="T97"/>
  <c r="T96"/>
  <c r="T95"/>
  <c r="T90"/>
  <c r="T12" s="1"/>
  <c r="O98"/>
  <c r="V98" s="1"/>
  <c r="AF98" s="1"/>
  <c r="AW98" s="1"/>
  <c r="O90"/>
  <c r="V90" s="1"/>
  <c r="AF90" s="1"/>
  <c r="S94"/>
  <c r="S99" s="1"/>
  <c r="S92" s="1"/>
  <c r="S93" s="1"/>
  <c r="R94"/>
  <c r="R99" s="1"/>
  <c r="R92" s="1"/>
  <c r="R93" s="1"/>
  <c r="Q94"/>
  <c r="Q99" s="1"/>
  <c r="Q92" s="1"/>
  <c r="Q93" s="1"/>
  <c r="P94"/>
  <c r="P99" s="1"/>
  <c r="S354"/>
  <c r="R354"/>
  <c r="Q354"/>
  <c r="N354"/>
  <c r="H354"/>
  <c r="T355"/>
  <c r="O355"/>
  <c r="V355" s="1"/>
  <c r="AF355" s="1"/>
  <c r="AW355" s="1"/>
  <c r="O353"/>
  <c r="O21" s="1"/>
  <c r="T107"/>
  <c r="T106"/>
  <c r="T105"/>
  <c r="AF12" l="1"/>
  <c r="AW90"/>
  <c r="AZ90" s="1"/>
  <c r="V150"/>
  <c r="AW150" s="1"/>
  <c r="V151"/>
  <c r="AF151" s="1"/>
  <c r="V353"/>
  <c r="AZ98"/>
  <c r="T94"/>
  <c r="T99" s="1"/>
  <c r="P353"/>
  <c r="P21" s="1"/>
  <c r="T463"/>
  <c r="P462"/>
  <c r="T462" s="1"/>
  <c r="O354"/>
  <c r="AW151" l="1"/>
  <c r="AW153" s="1"/>
  <c r="AF153"/>
  <c r="V21"/>
  <c r="AF353"/>
  <c r="AW353" s="1"/>
  <c r="AW21" s="1"/>
  <c r="V354"/>
  <c r="AZ150"/>
  <c r="AZ355"/>
  <c r="T353"/>
  <c r="T21" s="1"/>
  <c r="P354"/>
  <c r="P109"/>
  <c r="T109" s="1"/>
  <c r="P108"/>
  <c r="T108" s="1"/>
  <c r="O109"/>
  <c r="V109" s="1"/>
  <c r="AF109" s="1"/>
  <c r="AW109" s="1"/>
  <c r="O108"/>
  <c r="V108" s="1"/>
  <c r="AF108" s="1"/>
  <c r="AW108" s="1"/>
  <c r="O107"/>
  <c r="O106"/>
  <c r="P104"/>
  <c r="T104" s="1"/>
  <c r="O105"/>
  <c r="O104"/>
  <c r="V104" s="1"/>
  <c r="AF104" s="1"/>
  <c r="AW104" s="1"/>
  <c r="T290"/>
  <c r="T288"/>
  <c r="T284"/>
  <c r="T285"/>
  <c r="T283"/>
  <c r="O290"/>
  <c r="V290" s="1"/>
  <c r="AF290" s="1"/>
  <c r="AW290" s="1"/>
  <c r="O289"/>
  <c r="O288"/>
  <c r="V288" s="1"/>
  <c r="AF288" s="1"/>
  <c r="AW288" s="1"/>
  <c r="O285"/>
  <c r="V285" s="1"/>
  <c r="AF285" s="1"/>
  <c r="AW285" s="1"/>
  <c r="O284"/>
  <c r="V284" s="1"/>
  <c r="AF284" s="1"/>
  <c r="AW284" s="1"/>
  <c r="O283"/>
  <c r="V283" s="1"/>
  <c r="AF283" s="1"/>
  <c r="AW283" s="1"/>
  <c r="S291"/>
  <c r="S286" s="1"/>
  <c r="R291"/>
  <c r="R286" s="1"/>
  <c r="Q291"/>
  <c r="Q286" s="1"/>
  <c r="N291"/>
  <c r="N286" s="1"/>
  <c r="S273"/>
  <c r="S271"/>
  <c r="T271" s="1"/>
  <c r="T272"/>
  <c r="T267"/>
  <c r="T268"/>
  <c r="T266"/>
  <c r="O273"/>
  <c r="V273" s="1"/>
  <c r="AF273" s="1"/>
  <c r="AW273" s="1"/>
  <c r="O272"/>
  <c r="V272" s="1"/>
  <c r="AF272" s="1"/>
  <c r="AW272" s="1"/>
  <c r="O271"/>
  <c r="V271" s="1"/>
  <c r="AF271" s="1"/>
  <c r="AW271" s="1"/>
  <c r="O267"/>
  <c r="V267" s="1"/>
  <c r="AF267" s="1"/>
  <c r="AW267" s="1"/>
  <c r="O268"/>
  <c r="V268" s="1"/>
  <c r="AF268" s="1"/>
  <c r="AW268" s="1"/>
  <c r="O266"/>
  <c r="V266" s="1"/>
  <c r="AF266" s="1"/>
  <c r="AW266" s="1"/>
  <c r="R274"/>
  <c r="R269" s="1"/>
  <c r="R270" s="1"/>
  <c r="Q274"/>
  <c r="Q269" s="1"/>
  <c r="Q270" s="1"/>
  <c r="P274"/>
  <c r="P269" s="1"/>
  <c r="P270" s="1"/>
  <c r="N274"/>
  <c r="N269" s="1"/>
  <c r="N270" s="1"/>
  <c r="S264"/>
  <c r="Q264"/>
  <c r="S262"/>
  <c r="Q262"/>
  <c r="T263"/>
  <c r="T255"/>
  <c r="T256"/>
  <c r="T254"/>
  <c r="O256"/>
  <c r="O255"/>
  <c r="O254"/>
  <c r="O264"/>
  <c r="V264" s="1"/>
  <c r="AF264" s="1"/>
  <c r="AW264" s="1"/>
  <c r="O263"/>
  <c r="V263" s="1"/>
  <c r="AF263" s="1"/>
  <c r="AW263" s="1"/>
  <c r="O262"/>
  <c r="V262" s="1"/>
  <c r="AF262" s="1"/>
  <c r="AW262" s="1"/>
  <c r="R265"/>
  <c r="P265"/>
  <c r="N265"/>
  <c r="R349"/>
  <c r="T349" s="1"/>
  <c r="R347"/>
  <c r="T347" s="1"/>
  <c r="T348"/>
  <c r="T343"/>
  <c r="T344"/>
  <c r="T342"/>
  <c r="O349"/>
  <c r="V349" s="1"/>
  <c r="AF349" s="1"/>
  <c r="AW349" s="1"/>
  <c r="O348"/>
  <c r="V348" s="1"/>
  <c r="AF348" s="1"/>
  <c r="AW348" s="1"/>
  <c r="O347"/>
  <c r="V347" s="1"/>
  <c r="AF347" s="1"/>
  <c r="AW347" s="1"/>
  <c r="O344"/>
  <c r="V344" s="1"/>
  <c r="AF344" s="1"/>
  <c r="AW344" s="1"/>
  <c r="O343"/>
  <c r="V343" s="1"/>
  <c r="AF343" s="1"/>
  <c r="AW343" s="1"/>
  <c r="O342"/>
  <c r="V342" s="1"/>
  <c r="AF342" s="1"/>
  <c r="AW342" s="1"/>
  <c r="S350"/>
  <c r="S345" s="1"/>
  <c r="S346" s="1"/>
  <c r="Q350"/>
  <c r="Q345" s="1"/>
  <c r="Q346" s="1"/>
  <c r="P350"/>
  <c r="P345" s="1"/>
  <c r="P346" s="1"/>
  <c r="N350"/>
  <c r="N345" s="1"/>
  <c r="N346" s="1"/>
  <c r="T281"/>
  <c r="T282" s="1"/>
  <c r="T278" s="1"/>
  <c r="T279" s="1"/>
  <c r="O281"/>
  <c r="S248"/>
  <c r="R248"/>
  <c r="Q248"/>
  <c r="P248"/>
  <c r="S246"/>
  <c r="R246"/>
  <c r="Q246"/>
  <c r="P246"/>
  <c r="O248"/>
  <c r="V248" s="1"/>
  <c r="O247"/>
  <c r="V247" s="1"/>
  <c r="AF247" s="1"/>
  <c r="AW247" s="1"/>
  <c r="O246"/>
  <c r="V246" s="1"/>
  <c r="AF246" s="1"/>
  <c r="AW246" s="1"/>
  <c r="O239"/>
  <c r="O240"/>
  <c r="O238"/>
  <c r="T247"/>
  <c r="T239"/>
  <c r="T240"/>
  <c r="T238"/>
  <c r="AZ151" l="1"/>
  <c r="AW274"/>
  <c r="AW269" s="1"/>
  <c r="AW270" s="1"/>
  <c r="AW350"/>
  <c r="AW345" s="1"/>
  <c r="AW346" s="1"/>
  <c r="AW265"/>
  <c r="AF265"/>
  <c r="AF21"/>
  <c r="AF354"/>
  <c r="AW354" s="1"/>
  <c r="AF274"/>
  <c r="AF269" s="1"/>
  <c r="AF270" s="1"/>
  <c r="AF350"/>
  <c r="AF345" s="1"/>
  <c r="AF346" s="1"/>
  <c r="AF248"/>
  <c r="V252"/>
  <c r="V281"/>
  <c r="O282"/>
  <c r="O278" s="1"/>
  <c r="O279" s="1"/>
  <c r="V239"/>
  <c r="AF239" s="1"/>
  <c r="AW239" s="1"/>
  <c r="AZ21"/>
  <c r="AZ353"/>
  <c r="V240"/>
  <c r="AF240" s="1"/>
  <c r="AW240" s="1"/>
  <c r="V238"/>
  <c r="T354"/>
  <c r="V350"/>
  <c r="V345" s="1"/>
  <c r="V346" s="1"/>
  <c r="AZ267"/>
  <c r="AZ285"/>
  <c r="AZ247"/>
  <c r="AZ344"/>
  <c r="AZ268"/>
  <c r="AZ273"/>
  <c r="AZ284"/>
  <c r="AZ290"/>
  <c r="AZ246"/>
  <c r="AZ343"/>
  <c r="AZ349"/>
  <c r="AZ264"/>
  <c r="AZ266"/>
  <c r="AZ272"/>
  <c r="AZ348"/>
  <c r="AZ263"/>
  <c r="V274"/>
  <c r="AZ104"/>
  <c r="AZ109"/>
  <c r="AZ108"/>
  <c r="V107"/>
  <c r="AF107" s="1"/>
  <c r="AW107" s="1"/>
  <c r="V256"/>
  <c r="AF256" s="1"/>
  <c r="AW256" s="1"/>
  <c r="V106"/>
  <c r="AF106" s="1"/>
  <c r="AW106" s="1"/>
  <c r="V255"/>
  <c r="AF255" s="1"/>
  <c r="AW255" s="1"/>
  <c r="P289"/>
  <c r="P446" s="1"/>
  <c r="P448" s="1"/>
  <c r="V289"/>
  <c r="V265"/>
  <c r="V254"/>
  <c r="AF254" s="1"/>
  <c r="AW254" s="1"/>
  <c r="V105"/>
  <c r="AF105" s="1"/>
  <c r="AW105" s="1"/>
  <c r="T350"/>
  <c r="T345" s="1"/>
  <c r="T346" s="1"/>
  <c r="S265"/>
  <c r="S260" s="1"/>
  <c r="S261" s="1"/>
  <c r="R260"/>
  <c r="R261" s="1"/>
  <c r="P260"/>
  <c r="P261" s="1"/>
  <c r="N260"/>
  <c r="N261" s="1"/>
  <c r="R350"/>
  <c r="R345" s="1"/>
  <c r="R346" s="1"/>
  <c r="T262"/>
  <c r="N287"/>
  <c r="N442"/>
  <c r="S287"/>
  <c r="S442"/>
  <c r="R287"/>
  <c r="R442"/>
  <c r="Q287"/>
  <c r="Q442"/>
  <c r="S274"/>
  <c r="S269" s="1"/>
  <c r="S270" s="1"/>
  <c r="T264"/>
  <c r="Q265"/>
  <c r="T273"/>
  <c r="O252"/>
  <c r="O244" s="1"/>
  <c r="O245" s="1"/>
  <c r="O350"/>
  <c r="O345" s="1"/>
  <c r="O346" s="1"/>
  <c r="O265"/>
  <c r="O274"/>
  <c r="O269" s="1"/>
  <c r="O270" s="1"/>
  <c r="O291"/>
  <c r="O286" s="1"/>
  <c r="O287" s="1"/>
  <c r="Q252"/>
  <c r="Q244" s="1"/>
  <c r="Q245" s="1"/>
  <c r="S252"/>
  <c r="S244" s="1"/>
  <c r="S245" s="1"/>
  <c r="R252"/>
  <c r="R244" s="1"/>
  <c r="R245" s="1"/>
  <c r="T248"/>
  <c r="T246"/>
  <c r="P252"/>
  <c r="P244" s="1"/>
  <c r="P245" s="1"/>
  <c r="AF252" l="1"/>
  <c r="AW248"/>
  <c r="AW260"/>
  <c r="AW261" s="1"/>
  <c r="AZ347"/>
  <c r="AZ346"/>
  <c r="AF238"/>
  <c r="AF289"/>
  <c r="AW289" s="1"/>
  <c r="AW291" s="1"/>
  <c r="AW286" s="1"/>
  <c r="AW287" s="1"/>
  <c r="V282"/>
  <c r="V278" s="1"/>
  <c r="V279" s="1"/>
  <c r="AF281"/>
  <c r="AF260"/>
  <c r="AF261" s="1"/>
  <c r="V244"/>
  <c r="V245" s="1"/>
  <c r="V260"/>
  <c r="AZ283"/>
  <c r="AZ288"/>
  <c r="AZ354"/>
  <c r="AZ342"/>
  <c r="AZ271"/>
  <c r="AZ262"/>
  <c r="AZ107"/>
  <c r="AZ106"/>
  <c r="AZ105"/>
  <c r="V291"/>
  <c r="V286" s="1"/>
  <c r="V269"/>
  <c r="P291"/>
  <c r="P286" s="1"/>
  <c r="P442" s="1"/>
  <c r="P443" s="1"/>
  <c r="T446"/>
  <c r="T289"/>
  <c r="T291" s="1"/>
  <c r="T286" s="1"/>
  <c r="T287" s="1"/>
  <c r="Q260"/>
  <c r="Q261" s="1"/>
  <c r="O260"/>
  <c r="O261" s="1"/>
  <c r="T274"/>
  <c r="T269" s="1"/>
  <c r="T270" s="1"/>
  <c r="R443"/>
  <c r="R444" s="1"/>
  <c r="S443"/>
  <c r="S444" s="1"/>
  <c r="N443"/>
  <c r="N444" s="1"/>
  <c r="Q443"/>
  <c r="Q444" s="1"/>
  <c r="T265"/>
  <c r="T260" s="1"/>
  <c r="T252"/>
  <c r="T244" s="1"/>
  <c r="T245" s="1"/>
  <c r="AF244" l="1"/>
  <c r="AW238"/>
  <c r="AZ238" s="1"/>
  <c r="AW252"/>
  <c r="AZ252" s="1"/>
  <c r="AZ248"/>
  <c r="AF282"/>
  <c r="AF278" s="1"/>
  <c r="AF279" s="1"/>
  <c r="AW281"/>
  <c r="AW282" s="1"/>
  <c r="AW278" s="1"/>
  <c r="AZ289"/>
  <c r="AF291"/>
  <c r="AF286" s="1"/>
  <c r="AF287" s="1"/>
  <c r="AF442"/>
  <c r="P287"/>
  <c r="AZ274"/>
  <c r="AZ240"/>
  <c r="AZ239"/>
  <c r="AZ255"/>
  <c r="AZ254"/>
  <c r="AZ350"/>
  <c r="AZ345"/>
  <c r="AZ265"/>
  <c r="AZ256"/>
  <c r="V287"/>
  <c r="V261"/>
  <c r="V270"/>
  <c r="AZ270" s="1"/>
  <c r="AZ269"/>
  <c r="T448"/>
  <c r="T442"/>
  <c r="P444"/>
  <c r="S320"/>
  <c r="R320"/>
  <c r="Q320"/>
  <c r="P320"/>
  <c r="S319"/>
  <c r="R319"/>
  <c r="Q319"/>
  <c r="S318"/>
  <c r="R318"/>
  <c r="Q318"/>
  <c r="P318"/>
  <c r="O320"/>
  <c r="V320" s="1"/>
  <c r="AF320" s="1"/>
  <c r="AW320" s="1"/>
  <c r="O319"/>
  <c r="V319" s="1"/>
  <c r="AF319" s="1"/>
  <c r="AW319" s="1"/>
  <c r="O318"/>
  <c r="O312"/>
  <c r="O20" s="1"/>
  <c r="O311"/>
  <c r="O19" s="1"/>
  <c r="O310"/>
  <c r="O18" s="1"/>
  <c r="T311"/>
  <c r="T19" s="1"/>
  <c r="T312"/>
  <c r="T20" s="1"/>
  <c r="T310"/>
  <c r="T18" s="1"/>
  <c r="T326"/>
  <c r="T16" s="1"/>
  <c r="T327"/>
  <c r="T17" s="1"/>
  <c r="P236"/>
  <c r="P231" s="1"/>
  <c r="P232" s="1"/>
  <c r="T341"/>
  <c r="M341"/>
  <c r="O336"/>
  <c r="V336" s="1"/>
  <c r="AF336" s="1"/>
  <c r="AW336" s="1"/>
  <c r="O335"/>
  <c r="V335" s="1"/>
  <c r="AF335" s="1"/>
  <c r="AW335" s="1"/>
  <c r="O334"/>
  <c r="V334" s="1"/>
  <c r="AF334" s="1"/>
  <c r="O326"/>
  <c r="O16" s="1"/>
  <c r="O327"/>
  <c r="O17" s="1"/>
  <c r="O325"/>
  <c r="O15" s="1"/>
  <c r="T325"/>
  <c r="T15" s="1"/>
  <c r="N333"/>
  <c r="AF245" l="1"/>
  <c r="AW244"/>
  <c r="AZ244" s="1"/>
  <c r="AZ281"/>
  <c r="AF340"/>
  <c r="AW334"/>
  <c r="AW340" s="1"/>
  <c r="AW442"/>
  <c r="AW443" s="1"/>
  <c r="AW444" s="1"/>
  <c r="AF443"/>
  <c r="AF444" s="1"/>
  <c r="AZ286"/>
  <c r="AZ291"/>
  <c r="AZ260"/>
  <c r="AZ261"/>
  <c r="V310"/>
  <c r="V312"/>
  <c r="V311"/>
  <c r="AZ319"/>
  <c r="V318"/>
  <c r="AF318" s="1"/>
  <c r="AZ336"/>
  <c r="AZ335"/>
  <c r="AZ320"/>
  <c r="AZ287"/>
  <c r="P390"/>
  <c r="T443"/>
  <c r="T444" s="1"/>
  <c r="V327"/>
  <c r="V325"/>
  <c r="V340"/>
  <c r="V326"/>
  <c r="V236"/>
  <c r="V231" s="1"/>
  <c r="O236"/>
  <c r="O231" s="1"/>
  <c r="O232" s="1"/>
  <c r="O340"/>
  <c r="O332" s="1"/>
  <c r="O333" s="1"/>
  <c r="T334"/>
  <c r="T335"/>
  <c r="O324"/>
  <c r="O316" s="1"/>
  <c r="O317" s="1"/>
  <c r="T319"/>
  <c r="S324"/>
  <c r="S316" s="1"/>
  <c r="S317" s="1"/>
  <c r="R324"/>
  <c r="R316" s="1"/>
  <c r="R317" s="1"/>
  <c r="Q324"/>
  <c r="Q316" s="1"/>
  <c r="Q317" s="1"/>
  <c r="T320"/>
  <c r="T318"/>
  <c r="P324"/>
  <c r="P316" s="1"/>
  <c r="P317" s="1"/>
  <c r="P485" s="1"/>
  <c r="S236"/>
  <c r="S231" s="1"/>
  <c r="S232" s="1"/>
  <c r="Q236"/>
  <c r="Q231" s="1"/>
  <c r="Q232" s="1"/>
  <c r="R236"/>
  <c r="R231" s="1"/>
  <c r="R232" s="1"/>
  <c r="AW279" l="1"/>
  <c r="AZ278"/>
  <c r="AW245"/>
  <c r="AZ245" s="1"/>
  <c r="AF324"/>
  <c r="AW318"/>
  <c r="AW324" s="1"/>
  <c r="AZ334"/>
  <c r="P487"/>
  <c r="T487" s="1"/>
  <c r="T485"/>
  <c r="V17"/>
  <c r="AF327"/>
  <c r="V20"/>
  <c r="AF312"/>
  <c r="V15"/>
  <c r="AF325"/>
  <c r="V19"/>
  <c r="AF311"/>
  <c r="V16"/>
  <c r="AF326"/>
  <c r="V18"/>
  <c r="AF310"/>
  <c r="V332"/>
  <c r="V324"/>
  <c r="V316" s="1"/>
  <c r="AZ340"/>
  <c r="AZ231"/>
  <c r="V232"/>
  <c r="AZ236"/>
  <c r="T340"/>
  <c r="T332" s="1"/>
  <c r="R434"/>
  <c r="S434"/>
  <c r="P434"/>
  <c r="Q434"/>
  <c r="O432"/>
  <c r="T324"/>
  <c r="T316" s="1"/>
  <c r="T317" s="1"/>
  <c r="T236"/>
  <c r="T231" s="1"/>
  <c r="T232" s="1"/>
  <c r="AF16" l="1"/>
  <c r="AW326"/>
  <c r="AW16" s="1"/>
  <c r="AZ16" s="1"/>
  <c r="AF17"/>
  <c r="AW327"/>
  <c r="AW17" s="1"/>
  <c r="AZ17" s="1"/>
  <c r="AF18"/>
  <c r="AW310"/>
  <c r="AW18" s="1"/>
  <c r="AZ18" s="1"/>
  <c r="AF19"/>
  <c r="AW311"/>
  <c r="AW19" s="1"/>
  <c r="AF20"/>
  <c r="AW312"/>
  <c r="AZ312" s="1"/>
  <c r="AF15"/>
  <c r="AW325"/>
  <c r="AZ325" s="1"/>
  <c r="AZ318"/>
  <c r="AF316"/>
  <c r="AF317" s="1"/>
  <c r="AZ19"/>
  <c r="V432"/>
  <c r="AF432" s="1"/>
  <c r="AZ232"/>
  <c r="AZ327"/>
  <c r="V317"/>
  <c r="V333"/>
  <c r="Q390"/>
  <c r="T432"/>
  <c r="O434"/>
  <c r="Q68"/>
  <c r="Q66"/>
  <c r="P75"/>
  <c r="T75" s="1"/>
  <c r="T77"/>
  <c r="T74"/>
  <c r="T73"/>
  <c r="T72"/>
  <c r="T67"/>
  <c r="N73"/>
  <c r="N72"/>
  <c r="O75"/>
  <c r="V75" s="1"/>
  <c r="AF75" s="1"/>
  <c r="AW75" s="1"/>
  <c r="O67"/>
  <c r="S71"/>
  <c r="S76" s="1"/>
  <c r="R71"/>
  <c r="R76" s="1"/>
  <c r="Q71"/>
  <c r="Q76" s="1"/>
  <c r="P71"/>
  <c r="Q126"/>
  <c r="Q124"/>
  <c r="AW20" l="1"/>
  <c r="AZ20" s="1"/>
  <c r="AZ310"/>
  <c r="AW316"/>
  <c r="AW317" s="1"/>
  <c r="AZ326"/>
  <c r="AZ311"/>
  <c r="AW15"/>
  <c r="AZ15" s="1"/>
  <c r="AW332"/>
  <c r="AW333" s="1"/>
  <c r="V433"/>
  <c r="V434" s="1"/>
  <c r="Q9"/>
  <c r="Q13"/>
  <c r="AZ324"/>
  <c r="V67"/>
  <c r="AF67" s="1"/>
  <c r="AW67" s="1"/>
  <c r="T68"/>
  <c r="AZ75"/>
  <c r="AZ317"/>
  <c r="AZ316"/>
  <c r="S69"/>
  <c r="R69"/>
  <c r="T434"/>
  <c r="T34"/>
  <c r="T66"/>
  <c r="Q69"/>
  <c r="P76"/>
  <c r="AW432" l="1"/>
  <c r="AW433" s="1"/>
  <c r="AW434" s="1"/>
  <c r="AZ434" s="1"/>
  <c r="AF433"/>
  <c r="AF434" s="1"/>
  <c r="AZ332"/>
  <c r="S70"/>
  <c r="R70"/>
  <c r="P69"/>
  <c r="Q70"/>
  <c r="H133"/>
  <c r="H131"/>
  <c r="H130"/>
  <c r="H132"/>
  <c r="AZ432" l="1"/>
  <c r="AZ433"/>
  <c r="AZ67"/>
  <c r="P70"/>
  <c r="Q391"/>
  <c r="R391"/>
  <c r="T387"/>
  <c r="P391"/>
  <c r="N391"/>
  <c r="S391"/>
  <c r="P133"/>
  <c r="T133" s="1"/>
  <c r="T126"/>
  <c r="T125"/>
  <c r="T10" s="1"/>
  <c r="T124"/>
  <c r="T9" s="1"/>
  <c r="T132"/>
  <c r="T131"/>
  <c r="T130"/>
  <c r="O132"/>
  <c r="V132" s="1"/>
  <c r="O133"/>
  <c r="V133" s="1"/>
  <c r="T122"/>
  <c r="S129"/>
  <c r="S134" s="1"/>
  <c r="S127" s="1"/>
  <c r="S128" s="1"/>
  <c r="R129"/>
  <c r="R134" s="1"/>
  <c r="R127" s="1"/>
  <c r="R128" s="1"/>
  <c r="Q129"/>
  <c r="Q134" s="1"/>
  <c r="Q127" s="1"/>
  <c r="Q128" s="1"/>
  <c r="P129"/>
  <c r="O112"/>
  <c r="O114"/>
  <c r="O113"/>
  <c r="T118"/>
  <c r="T119"/>
  <c r="T120"/>
  <c r="T121"/>
  <c r="O119"/>
  <c r="V119" s="1"/>
  <c r="AF119" s="1"/>
  <c r="AW119" s="1"/>
  <c r="O120"/>
  <c r="V120" s="1"/>
  <c r="AF120" s="1"/>
  <c r="AW120" s="1"/>
  <c r="O121"/>
  <c r="V121" s="1"/>
  <c r="AF121" s="1"/>
  <c r="AW121" s="1"/>
  <c r="O118"/>
  <c r="V118" s="1"/>
  <c r="AF118" s="1"/>
  <c r="AW118" s="1"/>
  <c r="S117"/>
  <c r="S123" s="1"/>
  <c r="R117"/>
  <c r="R123" s="1"/>
  <c r="Q117"/>
  <c r="Q123" s="1"/>
  <c r="P117"/>
  <c r="P123" s="1"/>
  <c r="N117"/>
  <c r="AW117" l="1"/>
  <c r="AF132"/>
  <c r="AW132" s="1"/>
  <c r="AF133"/>
  <c r="AW133" s="1"/>
  <c r="AF117"/>
  <c r="S33"/>
  <c r="R33"/>
  <c r="Q33"/>
  <c r="V113"/>
  <c r="AF113" s="1"/>
  <c r="AW113" s="1"/>
  <c r="AZ119"/>
  <c r="AZ120"/>
  <c r="AZ118"/>
  <c r="AZ121"/>
  <c r="P115"/>
  <c r="P116" s="1"/>
  <c r="S115"/>
  <c r="S32" s="1"/>
  <c r="Q115"/>
  <c r="Q32" s="1"/>
  <c r="R115"/>
  <c r="R32" s="1"/>
  <c r="T129"/>
  <c r="T134" s="1"/>
  <c r="T127" s="1"/>
  <c r="T128" s="1"/>
  <c r="T117"/>
  <c r="T123" s="1"/>
  <c r="T115" s="1"/>
  <c r="T116" s="1"/>
  <c r="V114"/>
  <c r="AF114" s="1"/>
  <c r="AW114" s="1"/>
  <c r="V117"/>
  <c r="T390"/>
  <c r="T391" s="1"/>
  <c r="V112"/>
  <c r="AF112" s="1"/>
  <c r="AW112" s="1"/>
  <c r="O117"/>
  <c r="P134"/>
  <c r="P127" s="1"/>
  <c r="P128" s="1"/>
  <c r="L504"/>
  <c r="K504"/>
  <c r="J504"/>
  <c r="I504"/>
  <c r="L503"/>
  <c r="L505" s="1"/>
  <c r="K503"/>
  <c r="J503"/>
  <c r="J505" s="1"/>
  <c r="I503"/>
  <c r="I505" s="1"/>
  <c r="H503"/>
  <c r="L500"/>
  <c r="K500"/>
  <c r="J500"/>
  <c r="M499"/>
  <c r="M498"/>
  <c r="M374"/>
  <c r="M373"/>
  <c r="I355"/>
  <c r="M355" s="1"/>
  <c r="M354"/>
  <c r="M353"/>
  <c r="M21" s="1"/>
  <c r="L350"/>
  <c r="L345" s="1"/>
  <c r="L346" s="1"/>
  <c r="K350"/>
  <c r="K345" s="1"/>
  <c r="K346" s="1"/>
  <c r="J350"/>
  <c r="J345" s="1"/>
  <c r="J346" s="1"/>
  <c r="I350"/>
  <c r="I345" s="1"/>
  <c r="I346" s="1"/>
  <c r="H350"/>
  <c r="H345" s="1"/>
  <c r="H346" s="1"/>
  <c r="M349"/>
  <c r="M348"/>
  <c r="M347"/>
  <c r="M344"/>
  <c r="M343"/>
  <c r="M342"/>
  <c r="J340"/>
  <c r="J332" s="1"/>
  <c r="J333" s="1"/>
  <c r="H333"/>
  <c r="L336"/>
  <c r="K336"/>
  <c r="I335"/>
  <c r="M335" s="1"/>
  <c r="L334"/>
  <c r="K334"/>
  <c r="L327"/>
  <c r="K327"/>
  <c r="M326"/>
  <c r="L325"/>
  <c r="L15" s="1"/>
  <c r="K325"/>
  <c r="K15" s="1"/>
  <c r="N324"/>
  <c r="N316" s="1"/>
  <c r="N317" s="1"/>
  <c r="N471" s="1"/>
  <c r="N473" s="1"/>
  <c r="N472" s="1"/>
  <c r="L324"/>
  <c r="L316" s="1"/>
  <c r="L317" s="1"/>
  <c r="L471" s="1"/>
  <c r="L473" s="1"/>
  <c r="L472" s="1"/>
  <c r="K324"/>
  <c r="K316" s="1"/>
  <c r="K317" s="1"/>
  <c r="K471" s="1"/>
  <c r="K473" s="1"/>
  <c r="K472" s="1"/>
  <c r="J324"/>
  <c r="J316" s="1"/>
  <c r="J317" s="1"/>
  <c r="J471" s="1"/>
  <c r="J473" s="1"/>
  <c r="J472" s="1"/>
  <c r="I324"/>
  <c r="I316" s="1"/>
  <c r="I317" s="1"/>
  <c r="I471" s="1"/>
  <c r="I473" s="1"/>
  <c r="I472" s="1"/>
  <c r="H324"/>
  <c r="H316" s="1"/>
  <c r="H317" s="1"/>
  <c r="H471" s="1"/>
  <c r="H473" s="1"/>
  <c r="H472" s="1"/>
  <c r="M320"/>
  <c r="M319"/>
  <c r="M318"/>
  <c r="M312"/>
  <c r="M311"/>
  <c r="M310"/>
  <c r="L291"/>
  <c r="L286" s="1"/>
  <c r="L287" s="1"/>
  <c r="K291"/>
  <c r="K286" s="1"/>
  <c r="K287" s="1"/>
  <c r="J291"/>
  <c r="J286" s="1"/>
  <c r="J287" s="1"/>
  <c r="I291"/>
  <c r="I286" s="1"/>
  <c r="I287" s="1"/>
  <c r="H291"/>
  <c r="H286" s="1"/>
  <c r="M290"/>
  <c r="M289"/>
  <c r="M288"/>
  <c r="M285"/>
  <c r="M284"/>
  <c r="M283"/>
  <c r="L274"/>
  <c r="L269" s="1"/>
  <c r="L270" s="1"/>
  <c r="K274"/>
  <c r="K269" s="1"/>
  <c r="K270" s="1"/>
  <c r="J274"/>
  <c r="J269" s="1"/>
  <c r="J270" s="1"/>
  <c r="I274"/>
  <c r="I269" s="1"/>
  <c r="I270" s="1"/>
  <c r="H274"/>
  <c r="H269" s="1"/>
  <c r="H270" s="1"/>
  <c r="M273"/>
  <c r="M272"/>
  <c r="M271"/>
  <c r="M268"/>
  <c r="M267"/>
  <c r="M266"/>
  <c r="T261"/>
  <c r="L265"/>
  <c r="L260" s="1"/>
  <c r="L261" s="1"/>
  <c r="K265"/>
  <c r="K260" s="1"/>
  <c r="K261" s="1"/>
  <c r="J265"/>
  <c r="J260" s="1"/>
  <c r="J261" s="1"/>
  <c r="I265"/>
  <c r="I260" s="1"/>
  <c r="I261" s="1"/>
  <c r="H265"/>
  <c r="M264"/>
  <c r="M263"/>
  <c r="M262"/>
  <c r="M256"/>
  <c r="M255"/>
  <c r="M254"/>
  <c r="N252"/>
  <c r="N244" s="1"/>
  <c r="N245" s="1"/>
  <c r="L252"/>
  <c r="L244" s="1"/>
  <c r="L245" s="1"/>
  <c r="K252"/>
  <c r="K244" s="1"/>
  <c r="K245" s="1"/>
  <c r="J252"/>
  <c r="J244" s="1"/>
  <c r="J245" s="1"/>
  <c r="I252"/>
  <c r="I244" s="1"/>
  <c r="I245" s="1"/>
  <c r="H252"/>
  <c r="H244" s="1"/>
  <c r="H245" s="1"/>
  <c r="M248"/>
  <c r="M247"/>
  <c r="M246"/>
  <c r="M240"/>
  <c r="M239"/>
  <c r="M238"/>
  <c r="N236"/>
  <c r="N231" s="1"/>
  <c r="N232" s="1"/>
  <c r="L236"/>
  <c r="L231" s="1"/>
  <c r="L232" s="1"/>
  <c r="K236"/>
  <c r="K231" s="1"/>
  <c r="K232" s="1"/>
  <c r="J236"/>
  <c r="J231" s="1"/>
  <c r="J232" s="1"/>
  <c r="I236"/>
  <c r="I231" s="1"/>
  <c r="I232" s="1"/>
  <c r="H236"/>
  <c r="H231" s="1"/>
  <c r="H232" s="1"/>
  <c r="I151"/>
  <c r="I500" s="1"/>
  <c r="M150"/>
  <c r="M135"/>
  <c r="M133"/>
  <c r="I132"/>
  <c r="N131"/>
  <c r="O131" s="1"/>
  <c r="V131" s="1"/>
  <c r="I131"/>
  <c r="M131" s="1"/>
  <c r="N130"/>
  <c r="I130"/>
  <c r="M130" s="1"/>
  <c r="L129"/>
  <c r="L134" s="1"/>
  <c r="L127" s="1"/>
  <c r="L128" s="1"/>
  <c r="K129"/>
  <c r="K134" s="1"/>
  <c r="K127" s="1"/>
  <c r="K128" s="1"/>
  <c r="J129"/>
  <c r="J134" s="1"/>
  <c r="H129"/>
  <c r="H134" s="1"/>
  <c r="N126"/>
  <c r="J126"/>
  <c r="I126"/>
  <c r="H126"/>
  <c r="M125"/>
  <c r="H125"/>
  <c r="H10" s="1"/>
  <c r="N124"/>
  <c r="J124"/>
  <c r="I124"/>
  <c r="H124"/>
  <c r="N123"/>
  <c r="N115" s="1"/>
  <c r="N116" s="1"/>
  <c r="M122"/>
  <c r="H122"/>
  <c r="O122" s="1"/>
  <c r="M121"/>
  <c r="M120"/>
  <c r="M119"/>
  <c r="M118"/>
  <c r="L117"/>
  <c r="L123" s="1"/>
  <c r="L115" s="1"/>
  <c r="L116" s="1"/>
  <c r="K117"/>
  <c r="K123" s="1"/>
  <c r="K115" s="1"/>
  <c r="K116" s="1"/>
  <c r="J117"/>
  <c r="J123" s="1"/>
  <c r="J115" s="1"/>
  <c r="J116" s="1"/>
  <c r="I117"/>
  <c r="I123" s="1"/>
  <c r="I115" s="1"/>
  <c r="I116" s="1"/>
  <c r="H117"/>
  <c r="M114"/>
  <c r="M113"/>
  <c r="M112"/>
  <c r="M109"/>
  <c r="M108"/>
  <c r="M107"/>
  <c r="M106"/>
  <c r="M105"/>
  <c r="M104"/>
  <c r="M98"/>
  <c r="I97"/>
  <c r="M97" s="1"/>
  <c r="H97"/>
  <c r="O97" s="1"/>
  <c r="N96"/>
  <c r="I96"/>
  <c r="M96" s="1"/>
  <c r="H96"/>
  <c r="N95"/>
  <c r="I95"/>
  <c r="H95"/>
  <c r="L94"/>
  <c r="L99" s="1"/>
  <c r="K94"/>
  <c r="K99" s="1"/>
  <c r="J94"/>
  <c r="J99" s="1"/>
  <c r="N91"/>
  <c r="L91"/>
  <c r="K91"/>
  <c r="J91"/>
  <c r="I91"/>
  <c r="H91"/>
  <c r="M90"/>
  <c r="N89"/>
  <c r="N11" s="1"/>
  <c r="L89"/>
  <c r="K89"/>
  <c r="K11" s="1"/>
  <c r="J89"/>
  <c r="J11" s="1"/>
  <c r="I89"/>
  <c r="H89"/>
  <c r="H12"/>
  <c r="L11"/>
  <c r="I11"/>
  <c r="H11"/>
  <c r="M77"/>
  <c r="L75"/>
  <c r="K75"/>
  <c r="J75"/>
  <c r="K74"/>
  <c r="J74"/>
  <c r="H74"/>
  <c r="O74" s="1"/>
  <c r="M73"/>
  <c r="H73"/>
  <c r="O73" s="1"/>
  <c r="M72"/>
  <c r="H72"/>
  <c r="T71"/>
  <c r="N71"/>
  <c r="N76" s="1"/>
  <c r="L71"/>
  <c r="K71"/>
  <c r="J71"/>
  <c r="I71"/>
  <c r="I76" s="1"/>
  <c r="N68"/>
  <c r="L68"/>
  <c r="K68"/>
  <c r="K13" s="1"/>
  <c r="J68"/>
  <c r="J13" s="1"/>
  <c r="I68"/>
  <c r="H68"/>
  <c r="M67"/>
  <c r="N66"/>
  <c r="N9" s="1"/>
  <c r="L66"/>
  <c r="L9" s="1"/>
  <c r="K66"/>
  <c r="K9" s="1"/>
  <c r="J66"/>
  <c r="J9" s="1"/>
  <c r="I66"/>
  <c r="I9" s="1"/>
  <c r="H66"/>
  <c r="H9" s="1"/>
  <c r="M46"/>
  <c r="AZ8"/>
  <c r="AZ7"/>
  <c r="AZ6"/>
  <c r="M35"/>
  <c r="AD8"/>
  <c r="AD7"/>
  <c r="AD6"/>
  <c r="AD5"/>
  <c r="L17" l="1"/>
  <c r="L481"/>
  <c r="L483" s="1"/>
  <c r="L482" s="1"/>
  <c r="K17"/>
  <c r="K481"/>
  <c r="K483" s="1"/>
  <c r="K482" s="1"/>
  <c r="AF131"/>
  <c r="AW131" s="1"/>
  <c r="M20"/>
  <c r="M16"/>
  <c r="H13"/>
  <c r="L13"/>
  <c r="I13"/>
  <c r="M19"/>
  <c r="M10"/>
  <c r="M12"/>
  <c r="M18"/>
  <c r="N13"/>
  <c r="P33"/>
  <c r="L390"/>
  <c r="L391" s="1"/>
  <c r="AZ117"/>
  <c r="AZ333"/>
  <c r="Q116"/>
  <c r="R116"/>
  <c r="S116"/>
  <c r="V73"/>
  <c r="AF73" s="1"/>
  <c r="AW73" s="1"/>
  <c r="V97"/>
  <c r="AF97" s="1"/>
  <c r="AW97" s="1"/>
  <c r="V122"/>
  <c r="V74"/>
  <c r="AF74" s="1"/>
  <c r="AW74" s="1"/>
  <c r="O387"/>
  <c r="H391"/>
  <c r="K390"/>
  <c r="K391" s="1"/>
  <c r="J390"/>
  <c r="J391" s="1"/>
  <c r="O96"/>
  <c r="I390"/>
  <c r="N432"/>
  <c r="N434" s="1"/>
  <c r="H432"/>
  <c r="H434" s="1"/>
  <c r="H260"/>
  <c r="H261" s="1"/>
  <c r="O95"/>
  <c r="H287"/>
  <c r="H442"/>
  <c r="J501"/>
  <c r="J502" s="1"/>
  <c r="L501"/>
  <c r="L502" s="1"/>
  <c r="I501"/>
  <c r="O91"/>
  <c r="O12"/>
  <c r="N94"/>
  <c r="N99" s="1"/>
  <c r="N92" s="1"/>
  <c r="N93" s="1"/>
  <c r="O66"/>
  <c r="M327"/>
  <c r="N503"/>
  <c r="N505" s="1"/>
  <c r="H505"/>
  <c r="H501" s="1"/>
  <c r="O68"/>
  <c r="O89"/>
  <c r="M151"/>
  <c r="O125"/>
  <c r="O10" s="1"/>
  <c r="M350"/>
  <c r="M345" s="1"/>
  <c r="M346" s="1"/>
  <c r="M34"/>
  <c r="K76"/>
  <c r="K69" s="1"/>
  <c r="K70" s="1"/>
  <c r="M324"/>
  <c r="M316" s="1"/>
  <c r="M317" s="1"/>
  <c r="M471" s="1"/>
  <c r="M473" s="1"/>
  <c r="M472" s="1"/>
  <c r="L92"/>
  <c r="L93" s="1"/>
  <c r="I94"/>
  <c r="I99" s="1"/>
  <c r="I92" s="1"/>
  <c r="I93" s="1"/>
  <c r="L340"/>
  <c r="L332" s="1"/>
  <c r="L333" s="1"/>
  <c r="M504"/>
  <c r="H123"/>
  <c r="H115" s="1"/>
  <c r="H116" s="1"/>
  <c r="I129"/>
  <c r="I134" s="1"/>
  <c r="I127" s="1"/>
  <c r="I128" s="1"/>
  <c r="K92"/>
  <c r="K93" s="1"/>
  <c r="M291"/>
  <c r="M286" s="1"/>
  <c r="M287" s="1"/>
  <c r="L76"/>
  <c r="L69" s="1"/>
  <c r="L70" s="1"/>
  <c r="J127"/>
  <c r="J128" s="1"/>
  <c r="K340"/>
  <c r="K332" s="1"/>
  <c r="K333" s="1"/>
  <c r="O72"/>
  <c r="V72" s="1"/>
  <c r="H71"/>
  <c r="H76" s="1"/>
  <c r="H69" s="1"/>
  <c r="H70" s="1"/>
  <c r="J76"/>
  <c r="J69" s="1"/>
  <c r="J70" s="1"/>
  <c r="M91"/>
  <c r="O124"/>
  <c r="J92"/>
  <c r="J93" s="1"/>
  <c r="N129"/>
  <c r="N134" s="1"/>
  <c r="N127" s="1"/>
  <c r="N128" s="1"/>
  <c r="O130"/>
  <c r="V130" s="1"/>
  <c r="AF130" s="1"/>
  <c r="AW130" s="1"/>
  <c r="AW129" s="1"/>
  <c r="AW134" s="1"/>
  <c r="M252"/>
  <c r="M244" s="1"/>
  <c r="M245" s="1"/>
  <c r="K505"/>
  <c r="T76"/>
  <c r="T33" s="1"/>
  <c r="M89"/>
  <c r="M126"/>
  <c r="O126"/>
  <c r="V126" s="1"/>
  <c r="H127"/>
  <c r="H128" s="1"/>
  <c r="M265"/>
  <c r="M260" s="1"/>
  <c r="M261" s="1"/>
  <c r="M274"/>
  <c r="M269" s="1"/>
  <c r="M270" s="1"/>
  <c r="O123"/>
  <c r="O115" s="1"/>
  <c r="O116" s="1"/>
  <c r="M236"/>
  <c r="M231" s="1"/>
  <c r="M232" s="1"/>
  <c r="I69"/>
  <c r="I70" s="1"/>
  <c r="M71"/>
  <c r="M129"/>
  <c r="M66"/>
  <c r="M75"/>
  <c r="M500"/>
  <c r="M68"/>
  <c r="N69"/>
  <c r="M74"/>
  <c r="H94"/>
  <c r="H99" s="1"/>
  <c r="H92" s="1"/>
  <c r="H93" s="1"/>
  <c r="M124"/>
  <c r="M336"/>
  <c r="I340"/>
  <c r="I332" s="1"/>
  <c r="I333" s="1"/>
  <c r="M95"/>
  <c r="M94" s="1"/>
  <c r="M99" s="1"/>
  <c r="M132"/>
  <c r="M325"/>
  <c r="M15" s="1"/>
  <c r="M334"/>
  <c r="M503"/>
  <c r="M117"/>
  <c r="AF72" l="1"/>
  <c r="M17"/>
  <c r="M481"/>
  <c r="M483" s="1"/>
  <c r="M482" s="1"/>
  <c r="AF129"/>
  <c r="AF134" s="1"/>
  <c r="AF122"/>
  <c r="AF126"/>
  <c r="AW126" s="1"/>
  <c r="AZ113"/>
  <c r="M11"/>
  <c r="I33"/>
  <c r="J33"/>
  <c r="K33"/>
  <c r="M13"/>
  <c r="M9"/>
  <c r="O11"/>
  <c r="H33"/>
  <c r="H32"/>
  <c r="L33"/>
  <c r="N33"/>
  <c r="N32"/>
  <c r="O13"/>
  <c r="O9"/>
  <c r="V12"/>
  <c r="AZ74"/>
  <c r="AZ73"/>
  <c r="V129"/>
  <c r="AZ114"/>
  <c r="AZ112"/>
  <c r="AZ97"/>
  <c r="V71"/>
  <c r="V123"/>
  <c r="N501"/>
  <c r="O501" s="1"/>
  <c r="O502" s="1"/>
  <c r="P91"/>
  <c r="P13" s="1"/>
  <c r="V91"/>
  <c r="AF91" s="1"/>
  <c r="AW91" s="1"/>
  <c r="T69"/>
  <c r="V124"/>
  <c r="V68"/>
  <c r="AF68" s="1"/>
  <c r="AW68" s="1"/>
  <c r="O390"/>
  <c r="O391" s="1"/>
  <c r="V387"/>
  <c r="V125"/>
  <c r="V66"/>
  <c r="AF66" s="1"/>
  <c r="AW66" s="1"/>
  <c r="V96"/>
  <c r="AF96" s="1"/>
  <c r="AW96" s="1"/>
  <c r="P89"/>
  <c r="P11" s="1"/>
  <c r="V89"/>
  <c r="O94"/>
  <c r="O99" s="1"/>
  <c r="O92" s="1"/>
  <c r="O93" s="1"/>
  <c r="V95"/>
  <c r="AF95" s="1"/>
  <c r="M390"/>
  <c r="M391" s="1"/>
  <c r="I391"/>
  <c r="O442"/>
  <c r="V442" s="1"/>
  <c r="H443"/>
  <c r="H444" s="1"/>
  <c r="L32"/>
  <c r="K501"/>
  <c r="K502" s="1"/>
  <c r="O503"/>
  <c r="V503" s="1"/>
  <c r="H502"/>
  <c r="I502"/>
  <c r="M92"/>
  <c r="M93" s="1"/>
  <c r="O129"/>
  <c r="O134" s="1"/>
  <c r="O127" s="1"/>
  <c r="O128" s="1"/>
  <c r="O71"/>
  <c r="M505"/>
  <c r="M501" s="1"/>
  <c r="M340"/>
  <c r="M332" s="1"/>
  <c r="M333" s="1"/>
  <c r="I32"/>
  <c r="AZ5"/>
  <c r="M123"/>
  <c r="M115" s="1"/>
  <c r="M116" s="1"/>
  <c r="M134"/>
  <c r="M127" s="1"/>
  <c r="M128" s="1"/>
  <c r="J32"/>
  <c r="K32"/>
  <c r="M76"/>
  <c r="M69" s="1"/>
  <c r="M70" s="1"/>
  <c r="N70"/>
  <c r="AF94" l="1"/>
  <c r="AF99" s="1"/>
  <c r="AW95"/>
  <c r="AW94" s="1"/>
  <c r="AW99" s="1"/>
  <c r="AF71"/>
  <c r="AF76" s="1"/>
  <c r="AW72"/>
  <c r="AF123"/>
  <c r="AF115" s="1"/>
  <c r="AF116" s="1"/>
  <c r="AW122"/>
  <c r="V10"/>
  <c r="AF125"/>
  <c r="AF124"/>
  <c r="AF70"/>
  <c r="AF69"/>
  <c r="AF13"/>
  <c r="AF503"/>
  <c r="AF387"/>
  <c r="AF89"/>
  <c r="V13"/>
  <c r="V9"/>
  <c r="V11"/>
  <c r="V443"/>
  <c r="M33"/>
  <c r="AW12"/>
  <c r="T89"/>
  <c r="T11" s="1"/>
  <c r="AZ91"/>
  <c r="P92"/>
  <c r="P32" s="1"/>
  <c r="V115"/>
  <c r="AZ96"/>
  <c r="V390"/>
  <c r="V76"/>
  <c r="AZ66"/>
  <c r="V505"/>
  <c r="V501" s="1"/>
  <c r="V134"/>
  <c r="N502"/>
  <c r="T91"/>
  <c r="T13" s="1"/>
  <c r="T70"/>
  <c r="V94"/>
  <c r="O443"/>
  <c r="O444" s="1"/>
  <c r="O505"/>
  <c r="G1"/>
  <c r="M502"/>
  <c r="O76"/>
  <c r="O33" s="1"/>
  <c r="M32"/>
  <c r="AZ95" l="1"/>
  <c r="AF33"/>
  <c r="AF9"/>
  <c r="AW124"/>
  <c r="AW9" s="1"/>
  <c r="AZ9" s="1"/>
  <c r="AF390"/>
  <c r="AF391" s="1"/>
  <c r="AW387"/>
  <c r="AW123"/>
  <c r="AZ122"/>
  <c r="AF505"/>
  <c r="AF501" s="1"/>
  <c r="AF502" s="1"/>
  <c r="AW503"/>
  <c r="AW505" s="1"/>
  <c r="AW501" s="1"/>
  <c r="AW502" s="1"/>
  <c r="AF11"/>
  <c r="AW89"/>
  <c r="AW11" s="1"/>
  <c r="AZ11" s="1"/>
  <c r="AF10"/>
  <c r="AW125"/>
  <c r="AW10" s="1"/>
  <c r="AZ10" s="1"/>
  <c r="AW71"/>
  <c r="AW76" s="1"/>
  <c r="AW33" s="1"/>
  <c r="AZ72"/>
  <c r="AF127"/>
  <c r="AF128" s="1"/>
  <c r="AW13"/>
  <c r="AZ13" s="1"/>
  <c r="AF92"/>
  <c r="AF93" s="1"/>
  <c r="V127"/>
  <c r="V69"/>
  <c r="V116"/>
  <c r="AZ442"/>
  <c r="P93"/>
  <c r="AZ12"/>
  <c r="T92"/>
  <c r="T32" s="1"/>
  <c r="V391"/>
  <c r="AZ68"/>
  <c r="AZ76"/>
  <c r="V99"/>
  <c r="V33" s="1"/>
  <c r="V444"/>
  <c r="AZ443"/>
  <c r="O69"/>
  <c r="O32" s="1"/>
  <c r="AW69" l="1"/>
  <c r="AW32" s="1"/>
  <c r="AZ71"/>
  <c r="AZ503"/>
  <c r="AZ505"/>
  <c r="AZ501"/>
  <c r="AW115"/>
  <c r="AZ123"/>
  <c r="AZ89"/>
  <c r="AW127"/>
  <c r="AW128" s="1"/>
  <c r="AW92"/>
  <c r="AW93" s="1"/>
  <c r="AW390"/>
  <c r="AW391" s="1"/>
  <c r="AZ391" s="1"/>
  <c r="AZ387"/>
  <c r="V128"/>
  <c r="V70"/>
  <c r="T93"/>
  <c r="V502"/>
  <c r="AZ444"/>
  <c r="AZ502"/>
  <c r="AZ94"/>
  <c r="V92"/>
  <c r="V32" s="1"/>
  <c r="AZ99"/>
  <c r="O70"/>
  <c r="AW70" l="1"/>
  <c r="AZ70" s="1"/>
  <c r="AW35"/>
  <c r="AZ35" s="1"/>
  <c r="AZ390"/>
  <c r="AZ69"/>
  <c r="AW116"/>
  <c r="AZ116" s="1"/>
  <c r="AZ115"/>
  <c r="V93"/>
  <c r="AZ92"/>
  <c r="R333"/>
  <c r="Q333"/>
  <c r="P333"/>
  <c r="AZ93" l="1"/>
  <c r="T333"/>
  <c r="P502"/>
  <c r="T501"/>
  <c r="T502" l="1"/>
  <c r="AZ411"/>
  <c r="AZ410"/>
  <c r="AZ412"/>
  <c r="AZ472" l="1"/>
  <c r="AZ473"/>
  <c r="AZ33" l="1"/>
  <c r="AZ32" l="1"/>
  <c r="AF332"/>
  <c r="AF333" l="1"/>
  <c r="AF32"/>
  <c r="AF35" s="1"/>
  <c r="AF1" l="1"/>
</calcChain>
</file>

<file path=xl/comments1.xml><?xml version="1.0" encoding="utf-8"?>
<comments xmlns="http://schemas.openxmlformats.org/spreadsheetml/2006/main">
  <authors>
    <author>Autor</author>
  </authors>
  <commentList>
    <comment ref="A47" authorId="0">
      <text>
        <r>
          <rPr>
            <b/>
            <sz val="9"/>
            <color indexed="81"/>
            <rFont val="Tahoma"/>
            <family val="2"/>
            <charset val="238"/>
          </rPr>
          <t>Toate platile in proiect se fac de catre SCJM. CJM finanteaza o parte a cheltuielilor neeligibile si asigura transferul finantarii nerambursabile.</t>
        </r>
      </text>
    </comment>
    <comment ref="I52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2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103" authorId="0">
      <text>
        <r>
          <rPr>
            <b/>
            <sz val="9"/>
            <color indexed="81"/>
            <rFont val="Tahoma"/>
            <family val="2"/>
            <charset val="238"/>
          </rPr>
          <t>208.551,75 lei în urma semnării AA9 la contractul de asistenţă tehnică semnat în cadrul proiectului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transferat pe 2021-2027
</t>
        </r>
      </text>
    </comment>
    <comment ref="A106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
transferat pe 2021-2027</t>
        </r>
      </text>
    </comment>
    <comment ref="A10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</t>
        </r>
      </text>
    </comment>
    <comment ref="A110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</text>
    </comment>
    <comment ref="A147" authorId="0">
      <text>
        <r>
          <rPr>
            <sz val="9"/>
            <color indexed="81"/>
            <rFont val="Tahoma"/>
            <family val="2"/>
            <charset val="238"/>
          </rPr>
          <t xml:space="preserve">cofinantare CJM
</t>
        </r>
      </text>
    </comment>
    <comment ref="A149" authorId="0">
      <text>
        <r>
          <rPr>
            <b/>
            <sz val="9"/>
            <color indexed="81"/>
            <rFont val="Tahoma"/>
            <family val="2"/>
            <charset val="238"/>
          </rPr>
          <t>cofinanţare SCJM</t>
        </r>
      </text>
    </comment>
    <comment ref="I151" authorId="0">
      <text>
        <r>
          <rPr>
            <b/>
            <sz val="9"/>
            <color indexed="81"/>
            <rFont val="Tahoma"/>
            <family val="2"/>
            <charset val="238"/>
          </rPr>
          <t>contine si 2% din 10.736.335,45 lei fara TVA rezultati in plus la oferta PT + executie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Y151" authorId="0">
      <text>
        <r>
          <rPr>
            <b/>
            <sz val="9"/>
            <color indexed="81"/>
            <rFont val="Tahoma"/>
            <family val="2"/>
            <charset val="238"/>
          </rPr>
          <t>conform HCJM 53/2025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4" authorId="0">
      <text>
        <r>
          <rPr>
            <b/>
            <sz val="9"/>
            <color indexed="81"/>
            <rFont val="Tahoma"/>
            <family val="2"/>
            <charset val="238"/>
          </rPr>
          <t>cofinantare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6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Toate platile in proiect se fac de catre SCJM. CJM finanteaza o parte a cheltuielilor neeligibile si asigura transferul finantarii nerambursabile.
Finalizat 2025
</t>
        </r>
      </text>
    </comment>
    <comment ref="I173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75" authorId="0">
      <text>
        <r>
          <rPr>
            <b/>
            <sz val="9"/>
            <color indexed="81"/>
            <rFont val="Tahoma"/>
            <family val="2"/>
            <charset val="238"/>
          </rPr>
          <t>Prin HCJM 110/2024 s-a aprobat contributi si proiectul, dar se intelege ca e din  veniturile spitalului. Se pare ca se dorea sa fie din bugetul Judetului</t>
        </r>
      </text>
    </comment>
    <comment ref="I180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87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E188" authorId="0">
      <text>
        <r>
          <rPr>
            <b/>
            <sz val="9"/>
            <color indexed="81"/>
            <rFont val="Tahoma"/>
            <family val="2"/>
            <charset val="238"/>
          </rPr>
          <t>36.495,92 lei restituiti ]n cont de venituri la sfarsitul anului 2025 - confirmat telefonic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08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10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</t>
        </r>
      </text>
    </comment>
    <comment ref="A21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</t>
        </r>
      </text>
    </comment>
    <comment ref="A266" authorId="0">
      <text>
        <r>
          <rPr>
            <b/>
            <sz val="9"/>
            <color indexed="81"/>
            <rFont val="Tahoma"/>
            <family val="2"/>
            <charset val="238"/>
          </rPr>
          <t>finalizat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289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G298" authorId="0">
      <text>
        <r>
          <rPr>
            <b/>
            <sz val="9"/>
            <color indexed="81"/>
            <rFont val="Tahoma"/>
            <family val="2"/>
            <charset val="238"/>
          </rPr>
          <t>am trecut doar pana la valoarea aprobata in loc de 1.063.055,39 lei estimata cu majorarea TVA, dar neaprobata prin buget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298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307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42" authorId="0">
      <text>
        <r>
          <rPr>
            <b/>
            <sz val="9"/>
            <color indexed="81"/>
            <rFont val="Tahoma"/>
            <family val="2"/>
            <charset val="238"/>
          </rPr>
          <t>Contractul de finanțare nr.18304/14.02.2023 aferent proiectului
”Implementarea a 3.000 de km de trasee cicloturistice la nivel național” a
fost suspendat de către MDLPA, începând cu data de 08.11.2025 și până la
data de 31.12.2026.
Urmare a întârzierii plății cererii de transfer nr.25454/14.08.2025, respectiv a
facturii nr.25055/10.07.2025 pentru serviciile de elaborare a studiului de
fezabilitate - în cuantum de 1.493.121,37 lei, prestatorul a inițiat demersurile
necesare în justiție pentru plata penalităților de întârziere în cuantum de
177.964,61 lei. Totodată a fost solicitată și plata cheltuielilor reprezentând
onorariul avocațial și a cheltuielilor de judecată.
Ținând cont de cele menționate mai sus considerăm necesară prevederea în
bugetul instituției a sumei de 200.000,00 lei pentru eventualitatea în care
prestatorul va avea câștig de cauză în instanță.</t>
        </r>
      </text>
    </comment>
    <comment ref="AG351" authorId="0">
      <text>
        <r>
          <rPr>
            <sz val="9"/>
            <color indexed="81"/>
            <rFont val="Tahoma"/>
            <family val="2"/>
            <charset val="238"/>
          </rPr>
          <t xml:space="preserve">penalitati factura SF + cheltuieli de judecata
</t>
        </r>
      </text>
    </comment>
    <comment ref="T353" authorId="0">
      <text>
        <r>
          <rPr>
            <b/>
            <sz val="9"/>
            <color indexed="81"/>
            <rFont val="Tahoma"/>
            <family val="2"/>
            <charset val="238"/>
          </rPr>
          <t>corectare 26.01.2024 - cu 1.220.423 lei cerere de plata incasata dec 2024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M355" authorId="0">
      <text>
        <r>
          <rPr>
            <b/>
            <sz val="9"/>
            <color indexed="81"/>
            <rFont val="Tahoma"/>
            <family val="2"/>
            <charset val="238"/>
          </rPr>
          <t>nu conţine teren, achiziţionat în afara proiectului şi evidenţiat în lista de investiţii (501.000 lei)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60" authorId="0">
      <text>
        <r>
          <rPr>
            <sz val="9"/>
            <color indexed="81"/>
            <rFont val="Tahoma"/>
            <family val="2"/>
            <charset val="238"/>
          </rPr>
          <t xml:space="preserve">Utilizat la incarcare buget in CAB. In anexa la buget excedentul neutilizat 2023 se evidentiaza pe deficit (C&gt;V)
</t>
        </r>
      </text>
    </comment>
    <comment ref="P379" authorId="0">
      <text>
        <r>
          <rPr>
            <b/>
            <sz val="9"/>
            <color indexed="81"/>
            <rFont val="Tahoma"/>
            <family val="2"/>
            <charset val="238"/>
          </rPr>
          <t>3.021.000 introdus pentru regularizare alineate cu 2023. Nu e reflectat in anexa 11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Q37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2.416.096 lei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38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 introdus pentru regularizare alineate cu 2023. Nu e reflectat in anexa 11. Suma de 2.416.096 lei a fost rambursat - prefinan'area primita in 2023 a fost rambursata spitalului si acesta a restituit intreaga suma intrucat contravaloarea prefinantarii a reportat-o in excedentul propriu dupa ce cheltuielile eligibile le-a platit in 2023 din sume de la bugetul Judetului Mures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87" authorId="0">
      <text>
        <r>
          <rPr>
            <b/>
            <sz val="9"/>
            <color indexed="81"/>
            <rFont val="Tahoma"/>
            <family val="2"/>
            <charset val="238"/>
          </rPr>
          <t>Partea din cheltuielile neeligibile  şi eligibile asigurată  de SCJM potrivit HCJM 44 şi 106/2022</t>
        </r>
        <r>
          <rPr>
            <sz val="9"/>
            <color indexed="81"/>
            <rFont val="Tahoma"/>
            <family val="2"/>
            <charset val="238"/>
          </rPr>
          <t xml:space="preserve">
+CHELTUIELILE NEELIGIBILE ASIGURATE DE CJM 
Toate platile in proiect se fac de catre SCJM. CJM finanteaza o parte a cheltuielilor neeligibile si asigura transferul finantarii nerambursabile.
Finalizat in 2025</t>
        </r>
      </text>
    </comment>
    <comment ref="N451" authorId="0">
      <text>
        <r>
          <rPr>
            <b/>
            <sz val="9"/>
            <color indexed="81"/>
            <rFont val="Tahoma"/>
            <family val="2"/>
            <charset val="238"/>
          </rPr>
          <t>de verificat cu executia, calculat pe baza necesar 2024 raportat la valoare contract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465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9" authorId="0">
      <text>
        <r>
          <rPr>
            <b/>
            <sz val="9"/>
            <color indexed="81"/>
            <rFont val="Tahoma"/>
            <family val="2"/>
            <charset val="238"/>
          </rPr>
          <t>total cheltuieli proiect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98" authorId="0">
      <text>
        <r>
          <rPr>
            <b/>
            <sz val="9"/>
            <color indexed="81"/>
            <rFont val="Tahoma"/>
            <family val="2"/>
            <charset val="238"/>
          </rPr>
          <t>total cheltuieli proiect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F505" authorId="0">
      <text>
        <r>
          <rPr>
            <b/>
            <sz val="9"/>
            <color indexed="81"/>
            <rFont val="Tahoma"/>
            <family val="2"/>
            <charset val="238"/>
          </rPr>
          <t>adus la valoarea comunicata la hotararea de introducere in domeniul public  180,1 milioane 
- suma platita in 2026. La neligibile e trecut TVA care e calculat cu 21% desi e posibil sa fie si facturi cu 19% + achiyitie echipamente la inceputul proiectului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<sst xmlns="http://schemas.openxmlformats.org/spreadsheetml/2006/main" count="1767" uniqueCount="368">
  <si>
    <t>Realizat până la 31.12.2022</t>
  </si>
  <si>
    <t>Nr. contract finanţare / cod SMIS</t>
  </si>
  <si>
    <t>Lider proiect/ Semnatar contract</t>
  </si>
  <si>
    <t>Trim I 2023</t>
  </si>
  <si>
    <t>Trim II 2023</t>
  </si>
  <si>
    <t>Trim III 2023</t>
  </si>
  <si>
    <t>Trim IV 2023</t>
  </si>
  <si>
    <t xml:space="preserve">Total Buget 2023 </t>
  </si>
  <si>
    <t>Total proiect</t>
  </si>
  <si>
    <t>Buget 2024</t>
  </si>
  <si>
    <t>Buget 2026</t>
  </si>
  <si>
    <t>Buget 2027</t>
  </si>
  <si>
    <t>Capitol bugetar</t>
  </si>
  <si>
    <t>Titlu/art/alin</t>
  </si>
  <si>
    <t>DGASPC MUREŞ</t>
  </si>
  <si>
    <t>Denumire itlu/art/alin</t>
  </si>
  <si>
    <t>Subvenţii de la BS pentru finanţarea unor programe de interes naţional, destinate secţiunii de dezvoltare a bugetului local</t>
  </si>
  <si>
    <t xml:space="preserve"> ACTIVE NEFINANCIARE</t>
  </si>
  <si>
    <t>17223/07.11.2022</t>
  </si>
  <si>
    <t>Buget CJM</t>
  </si>
  <si>
    <t>Buget de stat</t>
  </si>
  <si>
    <t>V</t>
  </si>
  <si>
    <t>C</t>
  </si>
  <si>
    <t>CJM</t>
  </si>
  <si>
    <t>Sursa finanţării nerambursabile</t>
  </si>
  <si>
    <t>Denumire proiect</t>
  </si>
  <si>
    <t>SCJM</t>
  </si>
  <si>
    <t>Spitalul Municipal Dr. Gh. Marinescu Târnăveni</t>
  </si>
  <si>
    <t>Cheltuieli neeligibile</t>
  </si>
  <si>
    <t>Total cheltuieli</t>
  </si>
  <si>
    <t>Finanţarea naţională</t>
  </si>
  <si>
    <t>Finanţarea externă nerambursabilă</t>
  </si>
  <si>
    <t xml:space="preserve">FEDR </t>
  </si>
  <si>
    <t>Restituire corecţii financiare</t>
  </si>
  <si>
    <t xml:space="preserve">Total venituri </t>
  </si>
  <si>
    <t>FEDR</t>
  </si>
  <si>
    <t>FEDR - prefinanțare</t>
  </si>
  <si>
    <t>420269</t>
  </si>
  <si>
    <t>Subventii de la bugetul de stat catre bugetele locale necesare sustinerii derularii proiectelor finantate din fonduri externe nerambursabile (FEN) postaderare aferete perioadei de programare 2014-2020****)</t>
  </si>
  <si>
    <t>Buget 2028</t>
  </si>
  <si>
    <t>Alte cheltuieli</t>
  </si>
  <si>
    <t>Finanţarea naţională, din care:</t>
  </si>
  <si>
    <t>BS</t>
  </si>
  <si>
    <t>Programe de dezvoltare</t>
  </si>
  <si>
    <t>Fonduri europene nerambursabile</t>
  </si>
  <si>
    <t>Finantare publica naționala</t>
  </si>
  <si>
    <t>Sume aferente TVA</t>
  </si>
  <si>
    <t>Total venituri</t>
  </si>
  <si>
    <t>PNRR-componenta FEN</t>
  </si>
  <si>
    <t>SC COMPANIA AQUASERV SA</t>
  </si>
  <si>
    <t>FC</t>
  </si>
  <si>
    <t>ETHNIKO KENTRO EREVNAS KAI TECHNOLOGIKIS ANAPTYXIS (CERTH)</t>
  </si>
  <si>
    <t>Alte sume primite de la UE</t>
  </si>
  <si>
    <t>Fondul de Cercetare și Inovare (Orizont Europa 2021-2027)</t>
  </si>
  <si>
    <t>AGENŢIA NAŢIONALĂ PENTRU EGALITATEA DE ŞANSE ÎNTRE FEMEI ŞI BĂRBAŢI</t>
  </si>
  <si>
    <t>FSE</t>
  </si>
  <si>
    <t>RA AEROPORT TRANSILVANIA</t>
  </si>
  <si>
    <t>FEN</t>
  </si>
  <si>
    <t>III.1.Proiecte FEN 2014-2020, din care:</t>
  </si>
  <si>
    <t>II.1.Mecanisme financiare Spațiul Economic European și Norvegian 2014-2021, din care:</t>
  </si>
  <si>
    <t>Prefinantare</t>
  </si>
  <si>
    <t>FSE - prefinanțare</t>
  </si>
  <si>
    <t>46.02.03</t>
  </si>
  <si>
    <t>I.SURSA 02, din care:</t>
  </si>
  <si>
    <t>Prefinanţare FEDR 2007-2013</t>
  </si>
  <si>
    <t>FEDR 2007-2013</t>
  </si>
  <si>
    <t>Subvenţii FEN 2007-2013</t>
  </si>
  <si>
    <t>FEDR 2014-2020</t>
  </si>
  <si>
    <t>FEDR - prefinanțare 2014-2020</t>
  </si>
  <si>
    <t>Subvenţii FEN 2014-2020</t>
  </si>
  <si>
    <t>FSE 2014-2020</t>
  </si>
  <si>
    <t>FSE - prefinanțare 2014-2020</t>
  </si>
  <si>
    <t>II.SURSA 08, din care:</t>
  </si>
  <si>
    <t>III.SURSA 10, din care:</t>
  </si>
  <si>
    <t xml:space="preserve">Subvenţii de la bugetul de stat </t>
  </si>
  <si>
    <t>Total venuturi</t>
  </si>
  <si>
    <t xml:space="preserve">Cheltuieli eligibile </t>
  </si>
  <si>
    <t xml:space="preserve">Cheltuieli neeligibile </t>
  </si>
  <si>
    <t>C5-B2.1.a-698</t>
  </si>
  <si>
    <t>PNRR-componenta Împrumut</t>
  </si>
  <si>
    <t>Transferuri din bugetele locale pentru finantarea  cheltuielilor de capital din domeniul sanatatii - cheltuieli eligibile</t>
  </si>
  <si>
    <t>Transferuri din bugetele locale pentru finantarea  cheltuielilor de capital din domeniul sanatatii - cheltuieli neeligibile</t>
  </si>
  <si>
    <t>v</t>
  </si>
  <si>
    <t>Subvenţii de la bugetele locale pentru finanţarea cheltuielilor de capital din domeniul sănătaţii</t>
  </si>
  <si>
    <t>Cofinanţare CJM</t>
  </si>
  <si>
    <t>Fonduri din împrumut rambursabil</t>
  </si>
  <si>
    <t>Fonduri din îmrumut rambursabil</t>
  </si>
  <si>
    <t>CJ SIBIU</t>
  </si>
  <si>
    <t>nu e confruntat cu executia</t>
  </si>
  <si>
    <t>348DOT ⁄ 2023
F-PNRR-Dotari-2023-6417</t>
  </si>
  <si>
    <t>11982/2023</t>
  </si>
  <si>
    <t>Finantare publica naționala-transfer către SCJM</t>
  </si>
  <si>
    <t>JUDEŢUL SUCEAVA</t>
  </si>
  <si>
    <t>18304/2023
C11-PI1-15</t>
  </si>
  <si>
    <t>45087203</t>
  </si>
  <si>
    <t>Finantare externa nerambursabila</t>
  </si>
  <si>
    <t>Sume din venituri proprii SCJM</t>
  </si>
  <si>
    <t>Venituri proprii</t>
  </si>
  <si>
    <t>82/2023</t>
  </si>
  <si>
    <t>IV.1.Proiecte FEN 2014-2020 AEROPORT, din care:</t>
  </si>
  <si>
    <t>Trim I 2024</t>
  </si>
  <si>
    <t>Trim II 2024</t>
  </si>
  <si>
    <t>Trim III 2024</t>
  </si>
  <si>
    <t>Trim IV 2024</t>
  </si>
  <si>
    <t>Realizat cumulat până la 31.12.2023</t>
  </si>
  <si>
    <t>Buget 2029</t>
  </si>
  <si>
    <t>480201(02)</t>
  </si>
  <si>
    <t>UMFST "George Emil Palade" Târgu Mureș</t>
  </si>
  <si>
    <t>12507/03.10.2023</t>
  </si>
  <si>
    <t>Restituire imprumut RA</t>
  </si>
  <si>
    <t xml:space="preserve">Realizat 01.01.2023-31.12.2023 </t>
  </si>
  <si>
    <t>I.1.Proiecte FEN 2014-2020, din care:</t>
  </si>
  <si>
    <t>I.2.Proiecte FEN 2021-2027, din care:</t>
  </si>
  <si>
    <t>I.3.PNRR, din care:</t>
  </si>
  <si>
    <t>I.3.1. Renovare energetică a clădirii administrative a Consiliului Judeţean Mureş</t>
  </si>
  <si>
    <t>I.3.2. Renovare energetică a clădirii Centrului Şcolar de Educaţie Incluzivă nr. 3 Reghin</t>
  </si>
  <si>
    <t>I.3.3. Dotarea cu mobilier, materiale didactice și echipamente digitale a Centrelor școlare pentru educație incluzivă si CJRAE din județul Mureș</t>
  </si>
  <si>
    <t>1.3.4.Achiziția microbuzelor electrice pentru elevi pentru unitățile de învățământ preuniversitar care funcționează în localitățile eligibile din județul Mureș</t>
  </si>
  <si>
    <t>I.4.Programe naţionale, din care:</t>
  </si>
  <si>
    <t>I.4.1.Paşi spre Viitor</t>
  </si>
  <si>
    <t>II.2.Alte programe comunitare finantate in perioada 2021-2027, din care:</t>
  </si>
  <si>
    <t>Transferuri de capital acordate în baza contractelor de parteneriat sau asociere</t>
  </si>
  <si>
    <t>1255/13/NN/14022024</t>
  </si>
  <si>
    <t>I.3.11.Implementarea a 3.000 km de trasee cicloturistice la nivel național</t>
  </si>
  <si>
    <t>Venituri proprii Aeroport/ sume alocate de la bugetul CJM anterior semnării contractului de finanţare/imprumut CJM</t>
  </si>
  <si>
    <t>Programul Europa Creativă (2021-2027)</t>
  </si>
  <si>
    <t>Alte transferuri de capital către instituţii  publice</t>
  </si>
  <si>
    <t>PAV SNC DI CLAUDIA DI GIACOMO E ROBERTA SAGLIONE</t>
  </si>
  <si>
    <t>III.3.Proiecte PNRR, din care:</t>
  </si>
  <si>
    <t>III.3.1.Dotarea ambulatoriului integrat al Spitalului Clinic Judeţean Mureş</t>
  </si>
  <si>
    <t>III.3.2.Dezvoltarea infrastructurii Unităţii de Asistenţă Medicală Ambulatorie din cadrul Spitalului Municipal Dr. Gheorghe Marinescu Târnăveni</t>
  </si>
  <si>
    <t>III.2. Proiecte FEN 2021-2027, din care:</t>
  </si>
  <si>
    <t>1130/144/W080/27122023</t>
  </si>
  <si>
    <t>III.2.1.Creşterea siguranţei pacienţilor în structuri spitaliceşti publice care utilizează fluide medicale - etapa a II-a</t>
  </si>
  <si>
    <t xml:space="preserve">Subvenţii de la bugetul de stat către bugetele locale necesare susţinerii derulării proiectelor finanţate din FEN postaderare, aferente perioadei de  programare 2021-2027 </t>
  </si>
  <si>
    <t>Realizat 01.01.2024-31.12.2024</t>
  </si>
  <si>
    <t>Realizat cumulat până la 31.12.2024</t>
  </si>
  <si>
    <t>C5-B2.2.a-223/146428/23.12.2022</t>
  </si>
  <si>
    <t>C5-B2.1.a-715/146191/22.12.2022</t>
  </si>
  <si>
    <t>VP Teatru</t>
  </si>
  <si>
    <t>I.1.2. Reabilitarea Muzeului de Ştiinţele Naturii Târgu Mureş</t>
  </si>
  <si>
    <t>I.1.4.VENUS - Împreună pentru o viață în siguranță!</t>
  </si>
  <si>
    <t>I.1.7.Proiectul regional de dezvoltare a infrastructurii de apă și apă uzată din județul Mureș în perioada 2014- 2020- Zona Valea Nirajului. UAT Crăciunești, UAT Acățari, UAT Bereni, UAT Măgherani</t>
  </si>
  <si>
    <t>I.1.8.Proiectul regional de dezvoltare a infrastructurii de apă și apă uzată în județul Mureș, în perioada 2014-2020. Zona Luduș-Grebenișu de Câmpie. UAT Luduș, UAT Sânger, UAT Tăureni, UAT Zau de Câmpie, UAT Grebenișu de Câmpie, UAT Șăulia, UAT Miheșu de Câmpie</t>
  </si>
  <si>
    <t xml:space="preserve">Sume primite  in cont plati an curent/precedent FEDR 2021 -2027 </t>
  </si>
  <si>
    <t>Buget 2030</t>
  </si>
  <si>
    <t>Subvenţii de la bugetul de stat către bugetele locale necesare susţinerii derulării proiectelor finanţate din FEN postaderare, aferente perioadei de programare 2021-2027</t>
  </si>
  <si>
    <t>FEDR 2021-2027</t>
  </si>
  <si>
    <t>450248(01)/(02)</t>
  </si>
  <si>
    <t>mii lei</t>
  </si>
  <si>
    <t>TOTAL</t>
  </si>
  <si>
    <t>Nr. crt.</t>
  </si>
  <si>
    <t>Cadastrul drumurilor</t>
  </si>
  <si>
    <t>Reparații la pod de beton pe DJ107G limita jud. Alba- Ațintiș, km 23+563, județul Mureș - faza PT</t>
  </si>
  <si>
    <t>Reconfigurare dispozitive de scurgere în localitatea Glodeni - faza PT</t>
  </si>
  <si>
    <t>Amenajare sant și acostamente  în localitatea Pogăceaua, comuna Pogăceaua - faza PT</t>
  </si>
  <si>
    <t>Diriginți de șantier</t>
  </si>
  <si>
    <t xml:space="preserve">Întreținerea drenurilor </t>
  </si>
  <si>
    <t>Reparații podețe</t>
  </si>
  <si>
    <t>Reparații carosabil și podeț pe DJ134, la km 27+100-27+150 , județul Mureș - execuție</t>
  </si>
  <si>
    <t>Îmbrăcăminți asfaltice bituminoase pe DJ153G Sânger (DJ151) - Papiu Ilarian - Iclănzel (DJ152A), km 12+400 – 14+380, judeţul Mureş - execuție</t>
  </si>
  <si>
    <t>Recalibrare șanțuri în localitatea Daneș - execuție</t>
  </si>
  <si>
    <t>Reparații la pod de beton armat pe DJ151A int. DJ151- Șăulia-Band, km 0+142, județul Mureș - execuție</t>
  </si>
  <si>
    <t>Reparații la pod de beton armat pe DJ151A int. DJ151- Șăulia-Band, km 19+215, județul Mureș - execuție</t>
  </si>
  <si>
    <t>Consolidare drum și teren aferent pe un tronson din DJ135 Târgu Mureş-Măgherani-Sărăţeni – limita judeţ Harghita, comuna Măgherani - PT+ execuție</t>
  </si>
  <si>
    <t>Îmbrăcăminte bituminoasă ușoară pe DJ134 Fântânele -Vețca, jud. Mureș -  execuție</t>
  </si>
  <si>
    <t>Reparații la pod de beton pe DJ151C Zau de Câmpie - Valea Largă, km 3+259, județul Mureș - execuție</t>
  </si>
  <si>
    <t>Amenajare șanț și acostamente  în localitatea Pogăceaua, comuna Pogăceaua - execuție</t>
  </si>
  <si>
    <t>Reconfigurare șanț pe DJ142 în comuna Suplac, inclusiv rețele - execuție</t>
  </si>
  <si>
    <t>Amenajare acostamente și șanțuri pe DJ 154A, localitățile Aluniș și Lunca Mureșului, comuna Aluniș - execuție</t>
  </si>
  <si>
    <t>Reabilitarea unui tronson de drum județean  DJ142A Gănești-Băgaciu-limita județ Sibiu - faza PT</t>
  </si>
  <si>
    <t>Reparații la pod de beton pe DJ107G limita jud. Alba- Ațintiș, km 23+563, județul Mureș - execuție</t>
  </si>
  <si>
    <t>Reconfigurare dispozitive de scurgere în localitatea Glodeni - execuție</t>
  </si>
  <si>
    <t>Reparații la podet pe DJ107 peste pârâul Dâmbău, km 84+340, localitatea Adămuș, județul Mureș -execuție</t>
  </si>
  <si>
    <t>Reabilitarea și modernizarea unui tronson din drumul județean DJ 153C Reghin - Lăpușna – limita județului Harghita - faza DALI</t>
  </si>
  <si>
    <t>Reabilitarea unui tronson de drum județean  DJ107D limita județ Alba-Crăiești-Adămuș-int.DN14A, de la limita cu județul Alba până la intersecța cu DJ107 - faza PT+avize</t>
  </si>
  <si>
    <t>Lărgirea drumului județean DJ153G Sânger (DJ151) - Papiu Ilarian, km 0+000 - 9+800, judeţul Mureş - faza PT</t>
  </si>
  <si>
    <t>Lărgirea drumului judeţean DJ153F DJ107G Nandra - Bichiş, judeţul Mureş - faza PT</t>
  </si>
  <si>
    <t xml:space="preserve">Reabilitare tronson de drum judeţean DJ 135 Tg. Mureş-Sărăţeni- lim. Jud. Harghita - extravilan - faza PT </t>
  </si>
  <si>
    <t>Modernizarea DJ 152A, DJ 151A şi DJ 151, Tg. Mureş (DN 15E)- Band - Şăulia-Sărmaşu - lim. jud. Bistriţa Năsăud, jud. Mureş -Etapa I - Faza PT</t>
  </si>
  <si>
    <t>Reparații/construire pod de beton pe DJ107 peste râul Târnava Mică, km 83+498, localitatea Adămuș, județul Mureș - faza SF</t>
  </si>
  <si>
    <t>Lărgirea unui tronson de drum judeţean DJ154E Reghin (DN15) - Solovăstru - Jabeniţa - Adrian - Gurghiu (DJ153C), Judeţul Mureş - PT</t>
  </si>
  <si>
    <t>Lărgire drum DJ153E DN15 - Bogata - PT</t>
  </si>
  <si>
    <t>Modernizarea unui tronson de drum județean  DJ135A Viforoasa-Neaua-Miercurea Nirajului-Hodoșa - int.DJ153- PT</t>
  </si>
  <si>
    <t>Reparații pod pe DJ151 Luduș-Sărmașu, km 18+581 - faza PT</t>
  </si>
  <si>
    <t>Modernizare tronson de drum pe DJ134 Fântânele- Vețca- limita județ Harghita, până la limita cu județul Harghita, județul Mureș - faza DALI</t>
  </si>
  <si>
    <t>Sens giratoriu Band amplasament DJ152A km 18+800, Comuna Band, judeţul Mureş - faza PT</t>
  </si>
  <si>
    <t>Refacere 1 pod pe DJ153C (Gurghiu) (HGR 698/2019)</t>
  </si>
  <si>
    <t>Reparații la pod de beton armat pe DJ 153 la Beica de Jos, km 7+155 - execuție</t>
  </si>
  <si>
    <t>Lărgire drum DJ153E DN15 - Bogata - execuție</t>
  </si>
  <si>
    <t>Modernizarea unui tronson de drum județean  DJ135A Viforoasa-Neaua-Miercurea Nirajului-Hodoșa - int.DJ153- execuție</t>
  </si>
  <si>
    <t>Asfaltarea unui tronson de drum pe DJ136 Sângeorgiu de Pădure-Bezid-limita județ Harghita- execuție</t>
  </si>
  <si>
    <t>Reabilitarea unui tronson de drum județean  DJ142A Gănești-Băgaciu-limita județ Sibiu - execuție</t>
  </si>
  <si>
    <t>Modernizarea DJ 152A, DJ 151A şi DJ 151, Tg. Mureş (DN 15E)- Band - Şăulia-Sărmaşu - lim. jud. Bistriţa Năsăud, jud. Mureş -Etapa I - execuție</t>
  </si>
  <si>
    <t>Pod pe DJ134 la km 27+980 peste râul Eliseni, în localitatea Șoard, comuna Vânători, județul Mureș - execuție</t>
  </si>
  <si>
    <t>Reabilitarea sistemului rutier pe drumul județean DJ151D Ungheni-Acățari, județul Mureș - Etapa I -  execuție</t>
  </si>
  <si>
    <t>I.2.2.Creşterea siguranţei pacienţilor în structuri spitaliceşti publice care utilizează fluide medicale - etapa II</t>
  </si>
  <si>
    <t>I.2.1.Sprijinirea Județului Mureș în realizarea activităților prevăzute de Planul Teritorial pentru Tranziție Justă</t>
  </si>
  <si>
    <t>565101</t>
  </si>
  <si>
    <t>565102</t>
  </si>
  <si>
    <t>565103</t>
  </si>
  <si>
    <t>Finanțare națională</t>
  </si>
  <si>
    <t>Finanţare externă nerambursabilă</t>
  </si>
  <si>
    <t>450251(01/02)</t>
  </si>
  <si>
    <t>FTJ 2021-2027</t>
  </si>
  <si>
    <t>FEDR 2021-2027 - prefinanțare</t>
  </si>
  <si>
    <t>451048(01/02)</t>
  </si>
  <si>
    <t xml:space="preserve">Contrib proprie </t>
  </si>
  <si>
    <t>86861/28.11.2024</t>
  </si>
  <si>
    <t>Surse proprii spital</t>
  </si>
  <si>
    <t xml:space="preserve">Recalibrare șanțuri în localitatea Daneș - faza PT </t>
  </si>
  <si>
    <t>Amenajare stație de autobuz pe DN15 (extravilan) - faza PT</t>
  </si>
  <si>
    <t>Recalibrare șanțuri pe DJ173 în localitatea Leniș, comuna Râciu - faza PT</t>
  </si>
  <si>
    <t>Refacere podet pe DJ152A km 10+456 și protejare/relocare utilități existente în localitatea Berghia, comuna Pănet,  județul Mureș - faza PT</t>
  </si>
  <si>
    <t>Asigurarea scurgerii apelor pe DJ142 în localitatea Capalna de Sus, comuna Mica - faza PT</t>
  </si>
  <si>
    <t>Recalibrare șanțuri pe DJ173 în localitatea Leniș, comuna Râciu - execuție</t>
  </si>
  <si>
    <t>Recalibrare șanț și amenajare acostament pe drumul județean DJ142A, în localitatea Gănești, jud. Mureș, execuție</t>
  </si>
  <si>
    <t>Asfaltare acostamente pe DJ135 Tg. Mureș-Măgherani-Sărățeni - faza PT +avize</t>
  </si>
  <si>
    <t>Reabilitarea unui tronson de drum județean  DJ134 Fântânele-Vețca-limita județ Harghita - faza PT (lărgire drum)</t>
  </si>
  <si>
    <t>Lărgirea unui tronson de drum judeţean DJ154E Reghin (DN15) - Solovăstru - Jabeniţa - Adrian - Gurghiu (DJ153C), Judeţul Mureş - execuție+diriginte</t>
  </si>
  <si>
    <t>Sens giratoriu Band amplasament DJ152A km 18+800, Comuna Band, judeţul Mureş - execuție + diriginte</t>
  </si>
  <si>
    <t>Lărgirea drumului judeţean DJ153F DJ107G Nandra - Bichiş, judeţul Mureş - execuție</t>
  </si>
  <si>
    <t>I.1.1. Reabilitarea Palatului Culturii</t>
  </si>
  <si>
    <t>AUTORITATEA NAŢIONALĂ PENTRU PROTECŢIA DREPTURILOR PERSOANELOR CU DIZABILITĂŢI</t>
  </si>
  <si>
    <t>FSE +</t>
  </si>
  <si>
    <t>FSE + 2021 - 2027</t>
  </si>
  <si>
    <t>42348/16.06.2025</t>
  </si>
  <si>
    <t>Trim I 2025
buget</t>
  </si>
  <si>
    <t>Trim II 2025
buget</t>
  </si>
  <si>
    <t>Trim III 2025
buget</t>
  </si>
  <si>
    <t>Trim IV 2025
buget</t>
  </si>
  <si>
    <t>Trim IV 2025
credit</t>
  </si>
  <si>
    <t>Buget 2025 total, din care:</t>
  </si>
  <si>
    <t>buget</t>
  </si>
  <si>
    <t>credit</t>
  </si>
  <si>
    <t>total</t>
  </si>
  <si>
    <t>credit intern</t>
  </si>
  <si>
    <t>2094/152/1.3.3/13.03.2025</t>
  </si>
  <si>
    <t>Credit intern</t>
  </si>
  <si>
    <t>Realizat 01.01.2025-31.12.2025
buget
credit a fost 0</t>
  </si>
  <si>
    <t>Realizat cumulat până la 31.12.2025
buget</t>
  </si>
  <si>
    <t>FTJ 2021-2028</t>
  </si>
  <si>
    <t>Prefinanţare FTJ</t>
  </si>
  <si>
    <t>Prefinanţare FEDR 2021-2027</t>
  </si>
  <si>
    <t>Buget 2031</t>
  </si>
  <si>
    <t>I.1.6.Sprijin pentru pregătirea aplicaţiei de finanţare şi a documentaţiilor de atribuire pentru proiectul regional de dezvoltare a infrastructurii de apă şi apă uzată din judeţul Mureş în perioada 2014-2020</t>
  </si>
  <si>
    <t>Asigurarea scurgerii apelor și amenajare acostament, inclusiv utilități, pe drumul județean DJ142D, în localitatea Delenii, comuna Băgaciu, jud. Mureș,  - faza PT</t>
  </si>
  <si>
    <t>Amenajare șanțuri și acostamente în localitatea Cornești, comuna Adămuș -  execuție</t>
  </si>
  <si>
    <t>Înlocuire podețe pe DJ142 în localitatea Idrifaia, comuna Suplac – execuție</t>
  </si>
  <si>
    <t>Modernizare/reabilitare drum de acces la stația de transfer Bălăușeri, inclusiv mutare/protejare utilități - faza PT</t>
  </si>
  <si>
    <t>Reabilitarea unui tronson de drum județean DJ143 Daneș-Criș-limită județ Sibiu până la limita cu județul Sibiu -faza PT</t>
  </si>
  <si>
    <t>Reparații pod situat pe DJ153B Dumbrăvioara (DN15)-Fărăgău (DN16), km 10+680, judeţul Mureş-DALI</t>
  </si>
  <si>
    <t xml:space="preserve">Reabilitare pod situat pe DJ154F la km 2+815 în localitatea Pănet, judeţul Mureş - faza DALI </t>
  </si>
  <si>
    <t>Ranforsare sistem rutier la drumul de acces la depozitul zonal Sânpaul - faza DALI</t>
  </si>
  <si>
    <t>Reparații pod pe DJ151 Luduș-Sărmașu, km 18+581 - execuție</t>
  </si>
  <si>
    <t>Reabilitare și modernizare tronson de drum pe DJ153 Reghin-Eremitu-Sovata (tronson Reghin-Eremitu)- executie</t>
  </si>
  <si>
    <t>1.1.3.Extinderea digitalizării activității Companiei Aquaserv prin achiziția de echipamente și software în vederea dezvoltării sistemului de management al pierderilor de apă</t>
  </si>
  <si>
    <t>I.1.4. Reabilitare DJ 106 Agnita-Sighişoara</t>
  </si>
  <si>
    <t>I.1.5. Modernizarea drumurilor judeţene DJ 151B şi DJ 142, Ungheni (DN 15) – Mica – Târnăveni (DN 14A) - judeţul Mureş</t>
  </si>
  <si>
    <t xml:space="preserve">I.1.6.Modernizarea Aeroportului Transilvania Târgu Mureș cu includerea obiectivelor din master planul general de transport </t>
  </si>
  <si>
    <t>I.2.2.Dotarea Spitalului Clinic Județean Mureș cu echipamente medicale care diagnostichează și tratează cancer !!!!</t>
  </si>
  <si>
    <t>I.2.3.Dotarea serviciului de anatomie patologică al Spitalului Clinic Județean Mureș</t>
  </si>
  <si>
    <t>1.3.4.Ergopolis - Consorțiul Regional pentru Învățământ Tehnic Dual</t>
  </si>
  <si>
    <t>I.3.5.Dotarea ambulatoriului integrat al Spitalului Clinic Judeţean Mureş</t>
  </si>
  <si>
    <t>I.3.6.Reducerea riscului de infecții nosocomiale în cadrul Spitalului Clinic Județean Mureș</t>
  </si>
  <si>
    <t xml:space="preserve">I.3.7.Dotarea secției Neonatologie a Spitalului Clinic Judetean Mures </t>
  </si>
  <si>
    <t>I.3.8. Renovare energetică a clădirii administrative a Muzeului Judeţean Mureş</t>
  </si>
  <si>
    <t>I.3.9.Dezvoltarea parcului arheologic de la Călugăreni, comuna Eremitu, judeţul Mureş</t>
  </si>
  <si>
    <t>II.2.1.COALition</t>
  </si>
  <si>
    <t>III.2.1.Dotarea Spitalului Clinic Județean Mureș cu echipamente medicale care diagnostichează și tratează cancer</t>
  </si>
  <si>
    <t>III.2.2.Dotarea serviciului de anatomie patologică al Spitalului Clinic Județean Mureș</t>
  </si>
  <si>
    <t xml:space="preserve">IV.1.1.Modernizarea Aeroportului Transilvania Târgu Mureș cu includerea obiectivelor din master planul general de transport </t>
  </si>
  <si>
    <t>Investiţii ale regiilor autonome aeroportuare, de interes local -contribuţie</t>
  </si>
  <si>
    <t>Investiţii ale regiilor autonome aeroportuare, de interes local -sume BS în contul FEN</t>
  </si>
  <si>
    <t xml:space="preserve">Finantare publica naționala - se transferă la UMFST după ce plăteşte de la el </t>
  </si>
  <si>
    <t>Amenajare 2 stații de autobuz pe DJ151, Km 27+400 (extravilan) - faza PT</t>
  </si>
  <si>
    <t>Amenajare șanțuri pe DJ142A în localitatea Băgaciu - faza PT</t>
  </si>
  <si>
    <t>Amenajare 2 stații de autobuz pe DJ151, Km 27+400 (extravilan) - execuție</t>
  </si>
  <si>
    <t>Reabilitare tronson de drum pe DJ151D Ungheni-Acățari-Tâmpa (tronson Acățari - Tâmpa) - faza DALI</t>
  </si>
  <si>
    <t>Reabilitare tronson de drum pe DJ135 Tg. Mureș- Miercurea Nirajului - Măgherani- Sărățeni) - faza DALI</t>
  </si>
  <si>
    <t>Reabilitare tronson de drum pe DJ135A Viforoasa(DN13A) - Miercurea Nirajului - Hodoșa - intersecție cu DJ153 (tronson Miercurea Nirajului - Hodoșa) - faza DALI</t>
  </si>
  <si>
    <t>Capitol</t>
  </si>
  <si>
    <t>Proiect</t>
  </si>
  <si>
    <t>LIDER PROIECT</t>
  </si>
  <si>
    <t xml:space="preserve">Total cheltuieli estimate aferente Judeţului Mureş şi instituţiilor subordonate </t>
  </si>
  <si>
    <t>COALition</t>
  </si>
  <si>
    <t>Renovare energetică a clădirii administrative a Consiliului Judeţean Mureş</t>
  </si>
  <si>
    <t>CJM (JUDEŢUL MUREŞ)</t>
  </si>
  <si>
    <t>Sprijinirea Județului Mureș în realizarea activităților prevăzute de Planul Teritorial pentru Tranziție Justă</t>
  </si>
  <si>
    <t xml:space="preserve">Reparații la Palatul Administrativ (execuție+diriginte+asistență proiectant) </t>
  </si>
  <si>
    <t>Reparaţii sediu administrativ demontare și remontare iluminat arhitectural PT+executie+diriginte de santier</t>
  </si>
  <si>
    <t>Reparaţii sediu administrativ - ornamente- faza PT +taxe+avize+ execuție+ dirigenție</t>
  </si>
  <si>
    <t>Renovare energetică a clădirii Centrului Şcolar de Educaţie Incluzivă nr. 3 Reghin</t>
  </si>
  <si>
    <t>Dotarea cu mobilier, materiale didactice și echipamente digitale a Centrelor școlare pentru educație incluzivă si CJRAE din județul Mureș</t>
  </si>
  <si>
    <t>Ergopolis - Consorțiul Regional pentru Învățământ Tehnic Dual</t>
  </si>
  <si>
    <t>Dotarea Ambulatoriului integrat al Spitalului Clinic Județean Mureș</t>
  </si>
  <si>
    <t>Dezvoltarea infrastructurii Unităţii de Asistenţă Medicală Ambulatorie din cadrul Spitalului Municipal Dr. Gheorghe Marinescu Târnăveni</t>
  </si>
  <si>
    <t>Reducerea riscului de infecții nosocomiale în cadrul Spitalului Clinic Județean Mureș</t>
  </si>
  <si>
    <t>Dotarea secției Neonatologie a Spitalului Clinic Judetean Mures</t>
  </si>
  <si>
    <t>Dotarea serviciului de anatomie patologică al Spitalului Clinic Județean Mureș</t>
  </si>
  <si>
    <t xml:space="preserve">Dotarea Spitalului Clinic Județean Mureș cu echipamente medicale care diagnostichează și tratează cancer </t>
  </si>
  <si>
    <t xml:space="preserve"> Investiții în sistemele informatice și în infrastructura digitală a unităților sanitare publice - Spitalul Clinic Judeţean Mureş</t>
  </si>
  <si>
    <t>Reabilitarea Palatului Culturii</t>
  </si>
  <si>
    <t>Reabilitarea Muzeului de Ştiinţele Naturii Târgu Mureş</t>
  </si>
  <si>
    <t>Renovare energetică a clădirii administrative a Muzeului Judeţean Mureş</t>
  </si>
  <si>
    <t>Dezvoltarea parcului arheologic de la Călugăreni, comuna Eremitu, judeţul Mureş</t>
  </si>
  <si>
    <t>PLAYGROUND - Noi poveşti ale dramaturgiei contemporane în Europa</t>
  </si>
  <si>
    <t>Rețeaua APP – Suport pentru o viață independentă în comunitate pentru persoanele cu dizabilități</t>
  </si>
  <si>
    <t xml:space="preserve">AUTORITATEA NAŢIONALĂ PENTRU PROTECŢIA DREPTURILOR PERSOANELOR CU DIZABILITĂŢI </t>
  </si>
  <si>
    <t>Sprijin pentru pregătirea aplicaţiei de finanţareşi a documentaţiei de atribuire pentru proiectul regional de dezvoltare a infrastructurii de apă şi apă uzată din judeţulMureş în perioada 2014-2020 – etapa II  - contribuţia Judeţului Mureş la proiect</t>
  </si>
  <si>
    <t>Extinderea digitalizării activității Companiei Aquaserv prin achiziția de echipamente și software în vederea dezvoltării sistemului de management al pierderilor de apă  - contribuţia Judeţului Mureş la proiect</t>
  </si>
  <si>
    <t>Reabilitare DJ 106 Agnita-Sighişoara   - contribuţia Judeţului Mureş la proiect</t>
  </si>
  <si>
    <t xml:space="preserve"> CJ SIBIU</t>
  </si>
  <si>
    <t>Modernizarea drumurilor judeţene DJ 151B şi DJ 142, Ungheni (DN 15) – Mica – Târnăveni (DN 14A) - judeţul Mureş</t>
  </si>
  <si>
    <t>Modernizare şi reabilitare DJ 153 Eremitu–Sovata</t>
  </si>
  <si>
    <t>Modernizarea Aeroportului Transilvania Târgu Mureș cu includerea obiectivelor din master planul general de transport</t>
  </si>
  <si>
    <t>Lucrări de intervenție la monumentul Aurel Vlaicu de la AEROPORTUL TRANSILVANIA TÂRGU MUREȘ- Execuție + diriginți</t>
  </si>
  <si>
    <t>Demolare pod vechi și realizarea unui pod nou pe DJ107G Limită județ Alba – Ațintiș, km 22+265, județul Mureș – faza PT</t>
  </si>
  <si>
    <t>Canalizare pluvială în incinta aeroportului Transilvania Târgu Mureș - Stație de pompare și instalații aferente - lucrare in garantie  asistență tehnică diriginți</t>
  </si>
  <si>
    <t>Amenajare sens giratoriu pe E60 la Aeroportul Transilvania – execuție +asistență tehnică (diriginte)</t>
  </si>
  <si>
    <t>Lucrări de reabilitare și consolidare pod situat pe DJ154G la km 1+041,  inclusiv  protejare/relocare utilități existente, în localitatea Lechincioara, comuna Șincai, judeţul Mureş - faza DALI</t>
  </si>
  <si>
    <t>Construire, reabilitare, modernizare gard perimetral pista R.A. Aeroport Transilvania Târgu Mureș - PT +asistență tehnică proiectant</t>
  </si>
  <si>
    <t>Drum de legătură la sensul giratoriu de la Aeroportul Transilvania Târgu Mureș - SF+PT</t>
  </si>
  <si>
    <t>Lista programelor multianuale pentru anul 2026</t>
  </si>
  <si>
    <t>Trim I 2026</t>
  </si>
  <si>
    <t>Trim II 2026</t>
  </si>
  <si>
    <t>Trim III 2026</t>
  </si>
  <si>
    <t>Trim IV 2026</t>
  </si>
  <si>
    <t>I.2.4. CONSTRUIREA SI DOTAREA UNUI CORP DE CLADIRE SPITALICESC PENTRU SERVICII DE PALIATIE, RACORDARE LA UTILITATI SI CREARE DE NOI UTILITATI IN INCINTA</t>
  </si>
  <si>
    <t>I.2.5. PLAYGROUND - Noi poveşti ale dramaturgiei contemporane în Europa</t>
  </si>
  <si>
    <t>1.2.6.Rețeaua APP – Suport pentru o viață independentă în comunitate pentru persoanele cu dizabilități</t>
  </si>
  <si>
    <t>I.2.7..Sprijin pentru pregătirea aplicaţiei de finanţareşi a documentaţiei de atribuire pentru proiectul regional de dezvoltare a infrastructurii de apă şi apă uzată din judeţulMureş în perioada 2014-2020 – etapa II</t>
  </si>
  <si>
    <t>I.2.8..Proiectul regional de dezvoltare a infrastructurii de apă și apă uzată din județul Mureș în perioada 2014- 2020- Zona Valea Nirajului. UAT Crăciunești, UAT Acățari, UAT Bereni, UAT Măgherani - etapa II</t>
  </si>
  <si>
    <t>I.2.9.Proiectul regional de dezvoltare a infrastructurii de apă și apă uzată în județul Mureș, în perioada 2014-2020. Zona Luduș-Grebenișu de Câmpie. UAT Luduș, UAT Sânger, UAT Tăureni, UAT Zau de Câmpie, UAT Grebenișu de Câmpie, UAT Șăulia, UAT Miheșu de Câmpie - etapa II</t>
  </si>
  <si>
    <t>I.2.10.Modernizare şi reabilitare DJ 153 Eremitu–Sovata</t>
  </si>
  <si>
    <t>III.2.4. PLAYGROUND - Noi poveşti ale dramaturgiei contemporane în Europa</t>
  </si>
  <si>
    <t>III.3.3.Reducerea riscului de infecții nosocomiale în cadrul Spitalului Clinic Județean Mureș</t>
  </si>
  <si>
    <t xml:space="preserve">III.3.4.Dotarea secției Neonatologie a Spitalului Clinic Judetean Mures </t>
  </si>
  <si>
    <t>III.3.5.Investiții în sistemele informatice și în infrastructura digitală a unităților sanitare publice - Spitalul Clinic Judeţean Mureş</t>
  </si>
  <si>
    <t>IV.1.2. Construire parc fotovoltaic 2.1MW</t>
  </si>
  <si>
    <t>Fondul pentru Modernizare</t>
  </si>
  <si>
    <t>Venituri proprii Aeroport</t>
  </si>
  <si>
    <t xml:space="preserve">Rambursare TVA </t>
  </si>
  <si>
    <t>Proiectul regional de dezvoltare a infrastructurii de apă și apă uzată din județul Mureș în perioada 2014- 2020- Zona Valea Nirajului. UAT Crăciunești, UAT Acățari, UAT Bereni, UAT Măgherani - etapa II - contribuţia Judeţului Mureş la proiect</t>
  </si>
  <si>
    <t>Proiectul regional de dezvoltare a infrastructurii de apă și apă uzată în județul Mureș, în perioada 2014-2020. Zona Luduș-Grebenișu de Câmpie. UAT Luduș, UAT Sânger, UAT Tăureni, UAT Zau de Câmpie, UAT Grebenișu de Câmpie, UAT Șăulia, UAT Miheșu de Câmpie - etapa II  - contribuţia Judeţului Mureş la proiect</t>
  </si>
  <si>
    <t>Construirea şi dotarea unui corp de clădire spitalicesc pentru servicii de paliaţie, racordare la utilităţi şi creare de noi utilităţi în incintă</t>
  </si>
  <si>
    <t>III.2.3. Construirea şi dotarea unui corp de clădire spitalicesc pentru servicii de paliaţie, racordare la utilităţi şi creare de noi utilităţi în incintă</t>
  </si>
  <si>
    <t>Construire parc fotovoltaic 2.1MW</t>
  </si>
  <si>
    <t>Reparații podețe și șanțuri pe drumul județean DJ154F (DJ152A – Pănet), km 0+000 – km 0+400, județul Mureș - faza PT</t>
  </si>
  <si>
    <t>Reparații podețe și șanțuri pe drumul județean DJ154F (DJ152A – Pănet), km 0+000 – km 0+400, județul Mureș - execuție</t>
  </si>
  <si>
    <t xml:space="preserve">Refacere pod lemn pe DJ135, km 43+500 parţial distrus situat pe raza comunei Sărăţeni (HGR nr. 514/2018) </t>
  </si>
  <si>
    <t>Punct de comanda județean str. Koteles nr.33-servicii de proiectare - PT</t>
  </si>
  <si>
    <t xml:space="preserve">Amenajare Sediu Serviciu de Întreținere Drumuri Județene-  Asistența tehnică prin diriginți </t>
  </si>
  <si>
    <t>Reabilitare energetică și lucrări conexe la imobilul din Târgu Mureș, str. Mihai Eminescu nr.29 – faza PT (Centrul Militar)</t>
  </si>
  <si>
    <t>Reparaţii sediu administrativ (dren,invelitoare, reparații la arhivă,etc.) asistență tehnică dirigenție+proiectant</t>
  </si>
  <si>
    <t>Reparații curente la Palatul Administrativ, Sediul Administrativ și Palatul Apollo, studii, expertize, proiecte și execuție</t>
  </si>
  <si>
    <t>Reamenajare grupuri sanitare la Centru de perfecţionare pentru personalul din administraţia publică (Pt+Execuție)</t>
  </si>
  <si>
    <t>Lucrări de reabilitare remiză și asigurare utilități la Centrul Militar Județean Mureș, Târgu Mureș, str. Mihai Eminescu, nr. 29 – execuție + PT</t>
  </si>
  <si>
    <t>Lucrari de reparații curente clădire Psihiatrie I, II și Endocrinologie</t>
  </si>
  <si>
    <t>Lucrari de reparații curente clădire Pediatrie</t>
  </si>
  <si>
    <t>Lucrari de reparații curente clădire Obstetrica Ginecologie și Neonatologie</t>
  </si>
  <si>
    <t>Lucrări de reparații acoperiș cladire Neuropsihiatrie Pediatrica</t>
  </si>
  <si>
    <t>Lucrări de reparații și amenajare curte imobil Strada Gheorghe Doja nr. 89</t>
  </si>
  <si>
    <t>Lucrări de reparații fațadă Boli Infecțioase I</t>
  </si>
  <si>
    <t>2026
iniţial</t>
  </si>
  <si>
    <t>Influenţe</t>
  </si>
  <si>
    <t>2026
rectificat</t>
  </si>
  <si>
    <t>Amenajare șanțuri la parcarea pietruită de pe strada Molter Karoly (expertiză, proiectare, execuție)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</si>
</sst>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1"/>
      <name val="Trebuchet MS"/>
      <family val="2"/>
    </font>
    <font>
      <sz val="10"/>
      <name val="Trebuchet MS"/>
      <family val="2"/>
      <charset val="238"/>
    </font>
    <font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0" borderId="0"/>
    <xf numFmtId="0" fontId="14" fillId="0" borderId="0"/>
    <xf numFmtId="0" fontId="4" fillId="0" borderId="0"/>
  </cellStyleXfs>
  <cellXfs count="183">
    <xf numFmtId="0" fontId="0" fillId="0" borderId="0" xfId="0"/>
    <xf numFmtId="0" fontId="5" fillId="0" borderId="1" xfId="0" applyFont="1" applyBorder="1"/>
    <xf numFmtId="0" fontId="5" fillId="0" borderId="0" xfId="0" applyFont="1"/>
    <xf numFmtId="0" fontId="5" fillId="2" borderId="1" xfId="0" applyFont="1" applyFill="1" applyBorder="1" applyAlignment="1">
      <alignment wrapText="1"/>
    </xf>
    <xf numFmtId="0" fontId="5" fillId="2" borderId="0" xfId="0" applyFont="1" applyFill="1"/>
    <xf numFmtId="0" fontId="5" fillId="3" borderId="0" xfId="0" applyFont="1" applyFill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/>
    <xf numFmtId="0" fontId="5" fillId="3" borderId="1" xfId="0" applyFont="1" applyFill="1" applyBorder="1"/>
    <xf numFmtId="3" fontId="5" fillId="3" borderId="0" xfId="0" applyNumberFormat="1" applyFont="1" applyFill="1"/>
    <xf numFmtId="3" fontId="5" fillId="0" borderId="0" xfId="0" applyNumberFormat="1" applyFont="1"/>
    <xf numFmtId="0" fontId="5" fillId="0" borderId="1" xfId="0" applyFont="1" applyFill="1" applyBorder="1"/>
    <xf numFmtId="0" fontId="5" fillId="2" borderId="1" xfId="0" applyFont="1" applyFill="1" applyBorder="1"/>
    <xf numFmtId="0" fontId="10" fillId="0" borderId="1" xfId="0" applyFont="1" applyBorder="1" applyAlignment="1">
      <alignment horizontal="center" vertical="center" wrapText="1"/>
    </xf>
    <xf numFmtId="4" fontId="5" fillId="0" borderId="0" xfId="0" applyNumberFormat="1" applyFont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3" fontId="11" fillId="0" borderId="2" xfId="0" applyNumberFormat="1" applyFont="1" applyBorder="1"/>
    <xf numFmtId="3" fontId="12" fillId="0" borderId="2" xfId="0" applyNumberFormat="1" applyFont="1" applyBorder="1"/>
    <xf numFmtId="0" fontId="11" fillId="0" borderId="0" xfId="0" applyFont="1" applyBorder="1"/>
    <xf numFmtId="0" fontId="10" fillId="3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/>
    <xf numFmtId="0" fontId="10" fillId="0" borderId="0" xfId="0" applyFont="1"/>
    <xf numFmtId="0" fontId="10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3" fontId="5" fillId="0" borderId="1" xfId="0" applyNumberFormat="1" applyFont="1" applyBorder="1"/>
    <xf numFmtId="3" fontId="10" fillId="3" borderId="1" xfId="0" applyNumberFormat="1" applyFont="1" applyFill="1" applyBorder="1"/>
    <xf numFmtId="3" fontId="5" fillId="2" borderId="0" xfId="0" applyNumberFormat="1" applyFont="1" applyFill="1"/>
    <xf numFmtId="0" fontId="5" fillId="4" borderId="0" xfId="0" applyFont="1" applyFill="1"/>
    <xf numFmtId="3" fontId="10" fillId="3" borderId="0" xfId="0" applyNumberFormat="1" applyFont="1" applyFill="1"/>
    <xf numFmtId="3" fontId="5" fillId="3" borderId="1" xfId="0" applyNumberFormat="1" applyFont="1" applyFill="1" applyBorder="1" applyAlignment="1">
      <alignment wrapText="1"/>
    </xf>
    <xf numFmtId="0" fontId="11" fillId="0" borderId="2" xfId="0" applyFont="1" applyFill="1" applyBorder="1"/>
    <xf numFmtId="3" fontId="13" fillId="0" borderId="2" xfId="0" applyNumberFormat="1" applyFont="1" applyBorder="1"/>
    <xf numFmtId="0" fontId="10" fillId="0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49" fontId="5" fillId="0" borderId="0" xfId="0" applyNumberFormat="1" applyFont="1"/>
    <xf numFmtId="0" fontId="10" fillId="2" borderId="0" xfId="0" applyFont="1" applyFill="1"/>
    <xf numFmtId="0" fontId="5" fillId="4" borderId="1" xfId="0" applyFont="1" applyFill="1" applyBorder="1" applyAlignment="1">
      <alignment horizontal="center"/>
    </xf>
    <xf numFmtId="0" fontId="10" fillId="4" borderId="0" xfId="0" applyFont="1" applyFill="1"/>
    <xf numFmtId="3" fontId="5" fillId="3" borderId="1" xfId="0" quotePrefix="1" applyNumberFormat="1" applyFont="1" applyFill="1" applyBorder="1"/>
    <xf numFmtId="3" fontId="5" fillId="2" borderId="1" xfId="0" quotePrefix="1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5" fillId="2" borderId="1" xfId="0" applyNumberFormat="1" applyFont="1" applyFill="1" applyBorder="1" applyAlignment="1">
      <alignment wrapText="1"/>
    </xf>
    <xf numFmtId="3" fontId="5" fillId="4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0" fillId="0" borderId="1" xfId="0" applyBorder="1" applyAlignment="1">
      <alignment horizontal="center" vertical="center" wrapText="1"/>
    </xf>
    <xf numFmtId="0" fontId="15" fillId="0" borderId="0" xfId="0" applyFont="1"/>
    <xf numFmtId="0" fontId="10" fillId="0" borderId="0" xfId="0" applyFont="1" applyFill="1"/>
    <xf numFmtId="3" fontId="15" fillId="0" borderId="0" xfId="0" applyNumberFormat="1" applyFont="1"/>
    <xf numFmtId="3" fontId="19" fillId="0" borderId="2" xfId="0" applyNumberFormat="1" applyFont="1" applyBorder="1"/>
    <xf numFmtId="3" fontId="15" fillId="3" borderId="1" xfId="0" applyNumberFormat="1" applyFont="1" applyFill="1" applyBorder="1"/>
    <xf numFmtId="3" fontId="15" fillId="2" borderId="1" xfId="0" applyNumberFormat="1" applyFont="1" applyFill="1" applyBorder="1"/>
    <xf numFmtId="3" fontId="15" fillId="4" borderId="1" xfId="0" applyNumberFormat="1" applyFont="1" applyFill="1" applyBorder="1"/>
    <xf numFmtId="3" fontId="18" fillId="0" borderId="1" xfId="0" applyNumberFormat="1" applyFont="1" applyBorder="1"/>
    <xf numFmtId="3" fontId="18" fillId="3" borderId="1" xfId="0" applyNumberFormat="1" applyFont="1" applyFill="1" applyBorder="1"/>
    <xf numFmtId="3" fontId="15" fillId="0" borderId="1" xfId="0" applyNumberFormat="1" applyFont="1" applyBorder="1"/>
    <xf numFmtId="3" fontId="5" fillId="0" borderId="0" xfId="0" applyNumberFormat="1" applyFont="1" applyFill="1"/>
    <xf numFmtId="0" fontId="5" fillId="0" borderId="0" xfId="0" quotePrefix="1" applyFont="1"/>
    <xf numFmtId="0" fontId="5" fillId="0" borderId="1" xfId="0" applyFont="1" applyBorder="1" applyAlignment="1">
      <alignment horizontal="center" vertical="center" wrapText="1"/>
    </xf>
    <xf numFmtId="4" fontId="5" fillId="3" borderId="0" xfId="0" applyNumberFormat="1" applyFont="1" applyFill="1"/>
    <xf numFmtId="4" fontId="5" fillId="2" borderId="0" xfId="0" applyNumberFormat="1" applyFont="1" applyFill="1"/>
    <xf numFmtId="3" fontId="16" fillId="0" borderId="1" xfId="1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/>
    </xf>
    <xf numFmtId="3" fontId="5" fillId="0" borderId="1" xfId="0" quotePrefix="1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vertical="center"/>
    </xf>
    <xf numFmtId="0" fontId="0" fillId="0" borderId="0" xfId="0" applyFont="1" applyFill="1"/>
    <xf numFmtId="3" fontId="17" fillId="0" borderId="1" xfId="1" applyNumberFormat="1" applyFont="1" applyFill="1" applyBorder="1" applyAlignment="1">
      <alignment horizontal="left" vertical="center" wrapText="1"/>
    </xf>
    <xf numFmtId="3" fontId="23" fillId="0" borderId="1" xfId="1" applyNumberFormat="1" applyFont="1" applyFill="1" applyBorder="1" applyAlignment="1">
      <alignment horizontal="left" vertical="center" wrapText="1"/>
    </xf>
    <xf numFmtId="3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/>
    <xf numFmtId="0" fontId="5" fillId="8" borderId="5" xfId="0" applyFont="1" applyFill="1" applyBorder="1" applyAlignment="1"/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0" fontId="5" fillId="2" borderId="4" xfId="0" applyFont="1" applyFill="1" applyBorder="1" applyAlignment="1"/>
    <xf numFmtId="0" fontId="5" fillId="2" borderId="5" xfId="0" applyFont="1" applyFill="1" applyBorder="1" applyAlignment="1"/>
    <xf numFmtId="0" fontId="5" fillId="8" borderId="3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8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5" fillId="0" borderId="5" xfId="0" applyFont="1" applyBorder="1" applyAlignment="1"/>
    <xf numFmtId="0" fontId="0" fillId="0" borderId="4" xfId="0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" fontId="21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2" fontId="21" fillId="0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 textRotation="90" wrapText="1"/>
    </xf>
  </cellXfs>
  <cellStyles count="9">
    <cellStyle name="Bun 2" xfId="3"/>
    <cellStyle name="Eronat 2" xfId="4"/>
    <cellStyle name="Neutru 2" xfId="5"/>
    <cellStyle name="Normal" xfId="0" builtinId="0"/>
    <cellStyle name="Normal 2" xfId="6"/>
    <cellStyle name="Normal 2 2" xfId="8"/>
    <cellStyle name="Normal 3" xfId="1"/>
    <cellStyle name="Normal 4" xfId="2"/>
    <cellStyle name="Normal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518"/>
  <sheetViews>
    <sheetView zoomScale="85" zoomScaleNormal="85" workbookViewId="0">
      <pane xSplit="6" ySplit="4" topLeftCell="G405" activePane="bottomRight" state="frozen"/>
      <selection activeCell="J88" sqref="J87:J88"/>
      <selection pane="topRight" activeCell="J88" sqref="J87:J88"/>
      <selection pane="bottomLeft" activeCell="J88" sqref="J87:J88"/>
      <selection pane="bottomRight" activeCell="AO415" sqref="AO415:AO416"/>
    </sheetView>
  </sheetViews>
  <sheetFormatPr defaultRowHeight="15"/>
  <cols>
    <col min="1" max="1" width="32.85546875" style="2" bestFit="1" customWidth="1"/>
    <col min="2" max="2" width="11.42578125" style="2" customWidth="1"/>
    <col min="3" max="3" width="8.140625" style="2" customWidth="1"/>
    <col min="4" max="4" width="2.28515625" style="2" bestFit="1" customWidth="1"/>
    <col min="5" max="5" width="14.5703125" style="2" customWidth="1"/>
    <col min="6" max="6" width="21.42578125" style="2" customWidth="1"/>
    <col min="7" max="7" width="19.140625" style="2" customWidth="1"/>
    <col min="8" max="8" width="15.7109375" style="2" hidden="1" customWidth="1"/>
    <col min="9" max="9" width="16.42578125" style="2" hidden="1" customWidth="1"/>
    <col min="10" max="10" width="13.7109375" style="2" hidden="1" customWidth="1"/>
    <col min="11" max="11" width="15.140625" style="2" hidden="1" customWidth="1"/>
    <col min="12" max="12" width="14.140625" style="2" hidden="1" customWidth="1"/>
    <col min="13" max="29" width="11.5703125" style="2" hidden="1" customWidth="1"/>
    <col min="30" max="30" width="12.28515625" style="62" hidden="1" customWidth="1"/>
    <col min="31" max="31" width="14.85546875" style="2" customWidth="1"/>
    <col min="32" max="40" width="12.28515625" style="2" customWidth="1"/>
    <col min="41" max="42" width="12.28515625" style="62" customWidth="1"/>
    <col min="43" max="43" width="12.5703125" style="62" customWidth="1"/>
    <col min="44" max="48" width="10.7109375" style="2" customWidth="1"/>
    <col min="49" max="49" width="16.85546875" style="2" customWidth="1"/>
    <col min="50" max="50" width="22.28515625" style="2" customWidth="1"/>
    <col min="51" max="51" width="13.28515625" style="2" customWidth="1"/>
    <col min="52" max="52" width="11.85546875" style="2" customWidth="1"/>
    <col min="53" max="16384" width="9.140625" style="2"/>
  </cols>
  <sheetData>
    <row r="1" spans="1:52">
      <c r="G1" s="12">
        <f>SUM(N5:N32)-N33</f>
        <v>0</v>
      </c>
      <c r="H1" s="12" t="s">
        <v>88</v>
      </c>
      <c r="I1" s="16"/>
      <c r="J1" s="16"/>
      <c r="K1" s="16"/>
      <c r="L1" s="16"/>
      <c r="M1" s="12"/>
      <c r="N1" s="49"/>
      <c r="O1" s="12"/>
      <c r="P1" s="12"/>
      <c r="Q1" s="12"/>
      <c r="R1" s="12"/>
      <c r="S1" s="12"/>
      <c r="T1" s="12"/>
      <c r="U1" s="12"/>
      <c r="V1" s="12"/>
      <c r="W1" s="12">
        <v>448.56000000238402</v>
      </c>
      <c r="X1" s="12">
        <v>-464.28999999910502</v>
      </c>
      <c r="Y1" s="12">
        <v>-493.69000000000199</v>
      </c>
      <c r="Z1" s="12"/>
      <c r="AA1" s="12"/>
      <c r="AB1" s="12"/>
      <c r="AC1" s="12"/>
      <c r="AD1" s="64"/>
      <c r="AE1" s="12">
        <f>SUM(AE5:AE32)-AE33</f>
        <v>-91230588.399999976</v>
      </c>
      <c r="AF1" s="12">
        <f>SUM(AF5:AF32)-AF33</f>
        <v>0.36000001430511475</v>
      </c>
      <c r="AG1" s="12">
        <v>810.057699999992</v>
      </c>
      <c r="AH1" s="12"/>
      <c r="AI1" s="12">
        <v>588.79300000006299</v>
      </c>
      <c r="AJ1" s="12"/>
      <c r="AK1" s="12">
        <v>141.05080000055</v>
      </c>
      <c r="AL1" s="12"/>
      <c r="AM1" s="12">
        <v>472.43720000085898</v>
      </c>
      <c r="AN1" s="12"/>
      <c r="AO1" s="64"/>
      <c r="AP1" s="64"/>
      <c r="AW1" s="12"/>
    </row>
    <row r="2" spans="1:52" ht="63.75" customHeight="1">
      <c r="A2" s="170" t="s">
        <v>25</v>
      </c>
      <c r="B2" s="170" t="s">
        <v>2</v>
      </c>
      <c r="C2" s="170" t="s">
        <v>12</v>
      </c>
      <c r="D2" s="15"/>
      <c r="E2" s="170" t="s">
        <v>13</v>
      </c>
      <c r="F2" s="170" t="s">
        <v>15</v>
      </c>
      <c r="G2" s="170" t="s">
        <v>1</v>
      </c>
      <c r="H2" s="15" t="s">
        <v>0</v>
      </c>
      <c r="I2" s="15" t="s">
        <v>3</v>
      </c>
      <c r="J2" s="15" t="s">
        <v>4</v>
      </c>
      <c r="K2" s="15" t="s">
        <v>5</v>
      </c>
      <c r="L2" s="15" t="s">
        <v>6</v>
      </c>
      <c r="M2" s="15" t="s">
        <v>7</v>
      </c>
      <c r="N2" s="15" t="s">
        <v>110</v>
      </c>
      <c r="O2" s="15" t="s">
        <v>104</v>
      </c>
      <c r="P2" s="15" t="s">
        <v>100</v>
      </c>
      <c r="Q2" s="15" t="s">
        <v>101</v>
      </c>
      <c r="R2" s="15" t="s">
        <v>102</v>
      </c>
      <c r="S2" s="15" t="s">
        <v>103</v>
      </c>
      <c r="T2" s="15" t="s">
        <v>9</v>
      </c>
      <c r="U2" s="15" t="s">
        <v>135</v>
      </c>
      <c r="V2" s="170" t="s">
        <v>136</v>
      </c>
      <c r="W2" s="170" t="s">
        <v>227</v>
      </c>
      <c r="X2" s="170" t="s">
        <v>228</v>
      </c>
      <c r="Y2" s="170" t="s">
        <v>229</v>
      </c>
      <c r="Z2" s="170" t="s">
        <v>230</v>
      </c>
      <c r="AA2" s="170" t="s">
        <v>231</v>
      </c>
      <c r="AB2" s="175" t="s">
        <v>232</v>
      </c>
      <c r="AC2" s="171"/>
      <c r="AD2" s="171"/>
      <c r="AE2" s="170" t="s">
        <v>239</v>
      </c>
      <c r="AF2" s="170" t="s">
        <v>240</v>
      </c>
      <c r="AG2" s="176" t="s">
        <v>324</v>
      </c>
      <c r="AH2" s="177"/>
      <c r="AI2" s="176" t="s">
        <v>325</v>
      </c>
      <c r="AJ2" s="177"/>
      <c r="AK2" s="176" t="s">
        <v>326</v>
      </c>
      <c r="AL2" s="177"/>
      <c r="AM2" s="176" t="s">
        <v>327</v>
      </c>
      <c r="AN2" s="177"/>
      <c r="AO2" s="172" t="s">
        <v>10</v>
      </c>
      <c r="AP2" s="173"/>
      <c r="AQ2" s="174"/>
      <c r="AR2" s="170" t="s">
        <v>11</v>
      </c>
      <c r="AS2" s="170" t="s">
        <v>39</v>
      </c>
      <c r="AT2" s="170" t="s">
        <v>105</v>
      </c>
      <c r="AU2" s="170" t="s">
        <v>145</v>
      </c>
      <c r="AV2" s="170" t="s">
        <v>244</v>
      </c>
      <c r="AW2" s="170" t="s">
        <v>8</v>
      </c>
      <c r="AX2" s="170" t="s">
        <v>24</v>
      </c>
    </row>
    <row r="3" spans="1:52" ht="48" customHeight="1">
      <c r="A3" s="171"/>
      <c r="B3" s="171"/>
      <c r="C3" s="171"/>
      <c r="D3" s="15"/>
      <c r="E3" s="171"/>
      <c r="F3" s="171"/>
      <c r="G3" s="171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71"/>
      <c r="W3" s="171"/>
      <c r="X3" s="171"/>
      <c r="Y3" s="171"/>
      <c r="Z3" s="171"/>
      <c r="AA3" s="171"/>
      <c r="AB3" s="61" t="s">
        <v>233</v>
      </c>
      <c r="AC3" s="61" t="s">
        <v>234</v>
      </c>
      <c r="AD3" s="61" t="s">
        <v>235</v>
      </c>
      <c r="AE3" s="161"/>
      <c r="AF3" s="161"/>
      <c r="AG3" s="74" t="s">
        <v>233</v>
      </c>
      <c r="AH3" s="74" t="s">
        <v>234</v>
      </c>
      <c r="AI3" s="74" t="s">
        <v>233</v>
      </c>
      <c r="AJ3" s="74" t="s">
        <v>234</v>
      </c>
      <c r="AK3" s="74" t="s">
        <v>233</v>
      </c>
      <c r="AL3" s="74" t="s">
        <v>234</v>
      </c>
      <c r="AM3" s="74" t="s">
        <v>233</v>
      </c>
      <c r="AN3" s="74" t="s">
        <v>234</v>
      </c>
      <c r="AO3" s="87" t="s">
        <v>233</v>
      </c>
      <c r="AP3" s="87" t="s">
        <v>234</v>
      </c>
      <c r="AQ3" s="87" t="s">
        <v>235</v>
      </c>
      <c r="AR3" s="171"/>
      <c r="AS3" s="171"/>
      <c r="AT3" s="171"/>
      <c r="AU3" s="171"/>
      <c r="AV3" s="171"/>
      <c r="AW3" s="171"/>
      <c r="AX3" s="171"/>
    </row>
    <row r="4" spans="1:52" s="22" customFormat="1" ht="31.5">
      <c r="A4" s="17" t="s">
        <v>63</v>
      </c>
      <c r="B4" s="17"/>
      <c r="C4" s="18"/>
      <c r="D4" s="18"/>
      <c r="E4" s="19"/>
      <c r="F4" s="19"/>
      <c r="G4" s="17"/>
      <c r="H4" s="20"/>
      <c r="I4" s="20"/>
      <c r="J4" s="20"/>
      <c r="K4" s="20"/>
      <c r="L4" s="20"/>
      <c r="M4" s="21"/>
      <c r="N4" s="21"/>
      <c r="O4" s="21"/>
      <c r="P4" s="21"/>
      <c r="Q4" s="21"/>
      <c r="R4" s="21"/>
      <c r="S4" s="21"/>
      <c r="T4" s="20"/>
      <c r="U4" s="21"/>
      <c r="V4" s="21"/>
      <c r="W4" s="21"/>
      <c r="X4" s="21"/>
      <c r="Y4" s="21"/>
      <c r="Z4" s="21"/>
      <c r="AA4" s="21"/>
      <c r="AB4" s="21"/>
      <c r="AC4" s="21"/>
      <c r="AD4" s="65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65"/>
      <c r="AP4" s="65"/>
      <c r="AQ4" s="65"/>
      <c r="AR4" s="20"/>
      <c r="AS4" s="20"/>
      <c r="AT4" s="20"/>
      <c r="AU4" s="20"/>
      <c r="AV4" s="20"/>
      <c r="AW4" s="21"/>
      <c r="AX4" s="17"/>
    </row>
    <row r="5" spans="1:52" s="23" customFormat="1" ht="30">
      <c r="A5" s="10"/>
      <c r="B5" s="10"/>
      <c r="C5" s="6"/>
      <c r="D5" s="6" t="s">
        <v>21</v>
      </c>
      <c r="E5" s="7"/>
      <c r="F5" s="8" t="s">
        <v>64</v>
      </c>
      <c r="G5" s="10"/>
      <c r="H5" s="9">
        <f t="shared" ref="H5:AW8" si="0">H36</f>
        <v>0</v>
      </c>
      <c r="I5" s="9">
        <f t="shared" si="0"/>
        <v>0</v>
      </c>
      <c r="J5" s="9">
        <f t="shared" si="0"/>
        <v>0</v>
      </c>
      <c r="K5" s="9">
        <f t="shared" si="0"/>
        <v>0</v>
      </c>
      <c r="L5" s="9">
        <f t="shared" si="0"/>
        <v>0</v>
      </c>
      <c r="M5" s="9">
        <f t="shared" si="0"/>
        <v>0</v>
      </c>
      <c r="N5" s="9">
        <f t="shared" si="0"/>
        <v>0</v>
      </c>
      <c r="O5" s="9">
        <f t="shared" si="0"/>
        <v>0</v>
      </c>
      <c r="P5" s="9">
        <f t="shared" si="0"/>
        <v>0</v>
      </c>
      <c r="Q5" s="9">
        <f t="shared" si="0"/>
        <v>0</v>
      </c>
      <c r="R5" s="9">
        <f t="shared" si="0"/>
        <v>0</v>
      </c>
      <c r="S5" s="9">
        <f t="shared" si="0"/>
        <v>0</v>
      </c>
      <c r="T5" s="9">
        <f t="shared" si="0"/>
        <v>0</v>
      </c>
      <c r="U5" s="9">
        <f t="shared" si="0"/>
        <v>0</v>
      </c>
      <c r="V5" s="9">
        <f t="shared" si="0"/>
        <v>0</v>
      </c>
      <c r="W5" s="9">
        <f t="shared" si="0"/>
        <v>0</v>
      </c>
      <c r="X5" s="9">
        <f t="shared" si="0"/>
        <v>0</v>
      </c>
      <c r="Y5" s="9">
        <f t="shared" si="0"/>
        <v>0</v>
      </c>
      <c r="Z5" s="9">
        <f t="shared" si="0"/>
        <v>0</v>
      </c>
      <c r="AA5" s="9"/>
      <c r="AB5" s="9"/>
      <c r="AC5" s="9"/>
      <c r="AD5" s="66">
        <f t="shared" ref="AD5:AF8" si="1">AD36</f>
        <v>0</v>
      </c>
      <c r="AE5" s="9">
        <f t="shared" si="1"/>
        <v>0</v>
      </c>
      <c r="AF5" s="9">
        <f t="shared" si="1"/>
        <v>0</v>
      </c>
      <c r="AG5" s="9">
        <f t="shared" ref="AG5:AQ5" si="2">AG36</f>
        <v>0</v>
      </c>
      <c r="AH5" s="9">
        <f t="shared" si="2"/>
        <v>0</v>
      </c>
      <c r="AI5" s="9">
        <f t="shared" si="2"/>
        <v>0</v>
      </c>
      <c r="AJ5" s="9">
        <f t="shared" si="2"/>
        <v>0</v>
      </c>
      <c r="AK5" s="9">
        <f t="shared" si="2"/>
        <v>0</v>
      </c>
      <c r="AL5" s="9">
        <f t="shared" si="2"/>
        <v>0</v>
      </c>
      <c r="AM5" s="9">
        <f t="shared" si="2"/>
        <v>0</v>
      </c>
      <c r="AN5" s="9">
        <f t="shared" si="2"/>
        <v>0</v>
      </c>
      <c r="AO5" s="66">
        <f t="shared" si="2"/>
        <v>0</v>
      </c>
      <c r="AP5" s="66">
        <f t="shared" si="2"/>
        <v>0</v>
      </c>
      <c r="AQ5" s="66">
        <f t="shared" si="2"/>
        <v>0</v>
      </c>
      <c r="AR5" s="9">
        <f t="shared" si="0"/>
        <v>0</v>
      </c>
      <c r="AS5" s="9">
        <f t="shared" si="0"/>
        <v>0</v>
      </c>
      <c r="AT5" s="9">
        <f t="shared" si="0"/>
        <v>0</v>
      </c>
      <c r="AU5" s="9">
        <f t="shared" si="0"/>
        <v>0</v>
      </c>
      <c r="AV5" s="9">
        <f t="shared" ref="AV5" si="3">AV36</f>
        <v>0</v>
      </c>
      <c r="AW5" s="9">
        <f t="shared" si="0"/>
        <v>0</v>
      </c>
      <c r="AX5" s="10"/>
      <c r="AY5" s="23">
        <v>0</v>
      </c>
      <c r="AZ5" s="43">
        <f>AW5-AY5</f>
        <v>0</v>
      </c>
    </row>
    <row r="6" spans="1:52" s="23" customFormat="1" ht="30">
      <c r="A6" s="10"/>
      <c r="B6" s="10"/>
      <c r="C6" s="6"/>
      <c r="D6" s="6" t="s">
        <v>21</v>
      </c>
      <c r="E6" s="7"/>
      <c r="F6" s="8" t="s">
        <v>33</v>
      </c>
      <c r="G6" s="10"/>
      <c r="H6" s="9">
        <f t="shared" ref="H6:U6" si="4">H37</f>
        <v>0</v>
      </c>
      <c r="I6" s="9">
        <f t="shared" si="4"/>
        <v>0</v>
      </c>
      <c r="J6" s="9">
        <f t="shared" si="4"/>
        <v>0</v>
      </c>
      <c r="K6" s="9">
        <f t="shared" si="4"/>
        <v>0</v>
      </c>
      <c r="L6" s="9">
        <f t="shared" si="4"/>
        <v>0</v>
      </c>
      <c r="M6" s="9">
        <f t="shared" si="4"/>
        <v>0</v>
      </c>
      <c r="N6" s="9">
        <f t="shared" si="4"/>
        <v>0</v>
      </c>
      <c r="O6" s="9">
        <f t="shared" si="4"/>
        <v>0</v>
      </c>
      <c r="P6" s="9">
        <f t="shared" si="4"/>
        <v>0</v>
      </c>
      <c r="Q6" s="9">
        <f t="shared" si="4"/>
        <v>0</v>
      </c>
      <c r="R6" s="9">
        <f t="shared" si="4"/>
        <v>0</v>
      </c>
      <c r="S6" s="9">
        <f t="shared" si="4"/>
        <v>0</v>
      </c>
      <c r="T6" s="9">
        <f t="shared" si="4"/>
        <v>0</v>
      </c>
      <c r="U6" s="9">
        <f t="shared" si="4"/>
        <v>0</v>
      </c>
      <c r="V6" s="9">
        <f t="shared" si="0"/>
        <v>0</v>
      </c>
      <c r="W6" s="9">
        <f t="shared" si="0"/>
        <v>0</v>
      </c>
      <c r="X6" s="9">
        <f t="shared" si="0"/>
        <v>0</v>
      </c>
      <c r="Y6" s="9">
        <f t="shared" si="0"/>
        <v>0</v>
      </c>
      <c r="Z6" s="9">
        <f t="shared" si="0"/>
        <v>0</v>
      </c>
      <c r="AA6" s="9"/>
      <c r="AB6" s="9"/>
      <c r="AC6" s="9"/>
      <c r="AD6" s="66">
        <f t="shared" si="1"/>
        <v>0</v>
      </c>
      <c r="AE6" s="9">
        <f t="shared" si="1"/>
        <v>0</v>
      </c>
      <c r="AF6" s="9">
        <f t="shared" si="1"/>
        <v>0</v>
      </c>
      <c r="AG6" s="9">
        <f t="shared" ref="AG6:AQ6" si="5">AG37</f>
        <v>0</v>
      </c>
      <c r="AH6" s="9">
        <f t="shared" si="5"/>
        <v>0</v>
      </c>
      <c r="AI6" s="9">
        <f t="shared" si="5"/>
        <v>0</v>
      </c>
      <c r="AJ6" s="9">
        <f t="shared" si="5"/>
        <v>0</v>
      </c>
      <c r="AK6" s="9">
        <f t="shared" si="5"/>
        <v>0</v>
      </c>
      <c r="AL6" s="9">
        <f t="shared" si="5"/>
        <v>0</v>
      </c>
      <c r="AM6" s="9">
        <f t="shared" si="5"/>
        <v>0</v>
      </c>
      <c r="AN6" s="9">
        <f t="shared" si="5"/>
        <v>0</v>
      </c>
      <c r="AO6" s="66">
        <f t="shared" si="5"/>
        <v>0</v>
      </c>
      <c r="AP6" s="66">
        <f t="shared" si="5"/>
        <v>0</v>
      </c>
      <c r="AQ6" s="66">
        <f t="shared" si="5"/>
        <v>0</v>
      </c>
      <c r="AR6" s="9">
        <f t="shared" si="0"/>
        <v>0</v>
      </c>
      <c r="AS6" s="9">
        <f t="shared" si="0"/>
        <v>0</v>
      </c>
      <c r="AT6" s="9">
        <f t="shared" si="0"/>
        <v>0</v>
      </c>
      <c r="AU6" s="9">
        <f t="shared" si="0"/>
        <v>0</v>
      </c>
      <c r="AV6" s="9">
        <f t="shared" ref="AV6" si="6">AV37</f>
        <v>0</v>
      </c>
      <c r="AW6" s="9">
        <f t="shared" si="0"/>
        <v>0</v>
      </c>
      <c r="AX6" s="10"/>
      <c r="AY6" s="23">
        <v>0</v>
      </c>
      <c r="AZ6" s="23">
        <f t="shared" ref="AZ6:AZ76" si="7">AW6-AY6</f>
        <v>0</v>
      </c>
    </row>
    <row r="7" spans="1:52" s="23" customFormat="1">
      <c r="A7" s="10"/>
      <c r="B7" s="10"/>
      <c r="C7" s="6"/>
      <c r="D7" s="6" t="s">
        <v>21</v>
      </c>
      <c r="E7" s="7"/>
      <c r="F7" s="8" t="s">
        <v>65</v>
      </c>
      <c r="G7" s="10"/>
      <c r="H7" s="9">
        <f t="shared" ref="H7:U7" si="8">H38</f>
        <v>0</v>
      </c>
      <c r="I7" s="9">
        <f t="shared" si="8"/>
        <v>0</v>
      </c>
      <c r="J7" s="9">
        <f t="shared" si="8"/>
        <v>0</v>
      </c>
      <c r="K7" s="9">
        <f t="shared" si="8"/>
        <v>0</v>
      </c>
      <c r="L7" s="9">
        <f t="shared" si="8"/>
        <v>0</v>
      </c>
      <c r="M7" s="9">
        <f t="shared" si="8"/>
        <v>0</v>
      </c>
      <c r="N7" s="9">
        <f t="shared" si="8"/>
        <v>0</v>
      </c>
      <c r="O7" s="9">
        <f t="shared" si="8"/>
        <v>0</v>
      </c>
      <c r="P7" s="9">
        <f t="shared" si="8"/>
        <v>0</v>
      </c>
      <c r="Q7" s="9">
        <f t="shared" si="8"/>
        <v>0</v>
      </c>
      <c r="R7" s="9">
        <f t="shared" si="8"/>
        <v>0</v>
      </c>
      <c r="S7" s="9">
        <f t="shared" si="8"/>
        <v>0</v>
      </c>
      <c r="T7" s="9">
        <f t="shared" si="8"/>
        <v>0</v>
      </c>
      <c r="U7" s="9">
        <f t="shared" si="8"/>
        <v>0</v>
      </c>
      <c r="V7" s="9">
        <f t="shared" si="0"/>
        <v>0</v>
      </c>
      <c r="W7" s="9">
        <f t="shared" si="0"/>
        <v>0</v>
      </c>
      <c r="X7" s="9">
        <f t="shared" si="0"/>
        <v>0</v>
      </c>
      <c r="Y7" s="9">
        <f t="shared" si="0"/>
        <v>0</v>
      </c>
      <c r="Z7" s="9">
        <f t="shared" si="0"/>
        <v>0</v>
      </c>
      <c r="AA7" s="9"/>
      <c r="AB7" s="9"/>
      <c r="AC7" s="9"/>
      <c r="AD7" s="66">
        <f t="shared" si="1"/>
        <v>0</v>
      </c>
      <c r="AE7" s="9">
        <f t="shared" si="1"/>
        <v>0</v>
      </c>
      <c r="AF7" s="9">
        <f t="shared" si="1"/>
        <v>0</v>
      </c>
      <c r="AG7" s="9">
        <f t="shared" ref="AG7:AQ7" si="9">AG38</f>
        <v>0</v>
      </c>
      <c r="AH7" s="9">
        <f t="shared" si="9"/>
        <v>0</v>
      </c>
      <c r="AI7" s="9">
        <f t="shared" si="9"/>
        <v>0</v>
      </c>
      <c r="AJ7" s="9">
        <f t="shared" si="9"/>
        <v>0</v>
      </c>
      <c r="AK7" s="9">
        <f t="shared" si="9"/>
        <v>0</v>
      </c>
      <c r="AL7" s="9">
        <f t="shared" si="9"/>
        <v>0</v>
      </c>
      <c r="AM7" s="9">
        <f t="shared" si="9"/>
        <v>0</v>
      </c>
      <c r="AN7" s="9">
        <f t="shared" si="9"/>
        <v>0</v>
      </c>
      <c r="AO7" s="66">
        <f t="shared" si="9"/>
        <v>0</v>
      </c>
      <c r="AP7" s="66">
        <f t="shared" si="9"/>
        <v>0</v>
      </c>
      <c r="AQ7" s="66">
        <f t="shared" si="9"/>
        <v>0</v>
      </c>
      <c r="AR7" s="9">
        <f t="shared" si="0"/>
        <v>0</v>
      </c>
      <c r="AS7" s="9">
        <f t="shared" si="0"/>
        <v>0</v>
      </c>
      <c r="AT7" s="9">
        <f t="shared" si="0"/>
        <v>0</v>
      </c>
      <c r="AU7" s="9">
        <f t="shared" si="0"/>
        <v>0</v>
      </c>
      <c r="AV7" s="9">
        <f t="shared" ref="AV7" si="10">AV38</f>
        <v>0</v>
      </c>
      <c r="AW7" s="9">
        <f t="shared" si="0"/>
        <v>0</v>
      </c>
      <c r="AX7" s="10"/>
      <c r="AY7" s="23">
        <v>0</v>
      </c>
      <c r="AZ7" s="23">
        <f t="shared" si="7"/>
        <v>0</v>
      </c>
    </row>
    <row r="8" spans="1:52" s="23" customFormat="1" ht="30">
      <c r="A8" s="10"/>
      <c r="B8" s="10"/>
      <c r="C8" s="6"/>
      <c r="D8" s="6" t="s">
        <v>21</v>
      </c>
      <c r="E8" s="7"/>
      <c r="F8" s="8" t="s">
        <v>66</v>
      </c>
      <c r="G8" s="10"/>
      <c r="H8" s="9">
        <f t="shared" ref="H8:U8" si="11">H39</f>
        <v>0</v>
      </c>
      <c r="I8" s="9">
        <f t="shared" si="11"/>
        <v>0</v>
      </c>
      <c r="J8" s="9">
        <f t="shared" si="11"/>
        <v>0</v>
      </c>
      <c r="K8" s="9">
        <f t="shared" si="11"/>
        <v>0</v>
      </c>
      <c r="L8" s="9">
        <f t="shared" si="11"/>
        <v>0</v>
      </c>
      <c r="M8" s="9">
        <f t="shared" si="11"/>
        <v>0</v>
      </c>
      <c r="N8" s="9">
        <f t="shared" si="11"/>
        <v>0</v>
      </c>
      <c r="O8" s="9">
        <f t="shared" si="11"/>
        <v>0</v>
      </c>
      <c r="P8" s="9">
        <f t="shared" si="11"/>
        <v>0</v>
      </c>
      <c r="Q8" s="9">
        <f t="shared" si="11"/>
        <v>0</v>
      </c>
      <c r="R8" s="9">
        <f t="shared" si="11"/>
        <v>0</v>
      </c>
      <c r="S8" s="9">
        <f t="shared" si="11"/>
        <v>0</v>
      </c>
      <c r="T8" s="9">
        <f t="shared" si="11"/>
        <v>0</v>
      </c>
      <c r="U8" s="9">
        <f t="shared" si="11"/>
        <v>0</v>
      </c>
      <c r="V8" s="9">
        <f t="shared" si="0"/>
        <v>0</v>
      </c>
      <c r="W8" s="9">
        <f t="shared" si="0"/>
        <v>0</v>
      </c>
      <c r="X8" s="9">
        <f t="shared" si="0"/>
        <v>0</v>
      </c>
      <c r="Y8" s="9">
        <f t="shared" si="0"/>
        <v>0</v>
      </c>
      <c r="Z8" s="9">
        <f t="shared" si="0"/>
        <v>0</v>
      </c>
      <c r="AA8" s="9"/>
      <c r="AB8" s="9"/>
      <c r="AC8" s="9"/>
      <c r="AD8" s="66">
        <f t="shared" si="1"/>
        <v>0</v>
      </c>
      <c r="AE8" s="9">
        <f t="shared" si="1"/>
        <v>0</v>
      </c>
      <c r="AF8" s="9">
        <f t="shared" si="1"/>
        <v>0</v>
      </c>
      <c r="AG8" s="9">
        <f t="shared" ref="AG8:AQ8" si="12">AG39</f>
        <v>0</v>
      </c>
      <c r="AH8" s="9">
        <f t="shared" si="12"/>
        <v>0</v>
      </c>
      <c r="AI8" s="9">
        <f t="shared" si="12"/>
        <v>0</v>
      </c>
      <c r="AJ8" s="9">
        <f t="shared" si="12"/>
        <v>0</v>
      </c>
      <c r="AK8" s="9">
        <f t="shared" si="12"/>
        <v>0</v>
      </c>
      <c r="AL8" s="9">
        <f t="shared" si="12"/>
        <v>0</v>
      </c>
      <c r="AM8" s="9">
        <f t="shared" si="12"/>
        <v>0</v>
      </c>
      <c r="AN8" s="9">
        <f t="shared" si="12"/>
        <v>0</v>
      </c>
      <c r="AO8" s="66">
        <f t="shared" si="12"/>
        <v>0</v>
      </c>
      <c r="AP8" s="66">
        <f t="shared" si="12"/>
        <v>0</v>
      </c>
      <c r="AQ8" s="66">
        <f t="shared" si="12"/>
        <v>0</v>
      </c>
      <c r="AR8" s="9">
        <f t="shared" si="0"/>
        <v>0</v>
      </c>
      <c r="AS8" s="9">
        <f t="shared" si="0"/>
        <v>0</v>
      </c>
      <c r="AT8" s="9">
        <f t="shared" si="0"/>
        <v>0</v>
      </c>
      <c r="AU8" s="9">
        <f t="shared" si="0"/>
        <v>0</v>
      </c>
      <c r="AV8" s="9">
        <f t="shared" ref="AV8" si="13">AV39</f>
        <v>0</v>
      </c>
      <c r="AW8" s="9">
        <f t="shared" si="0"/>
        <v>0</v>
      </c>
      <c r="AX8" s="10"/>
      <c r="AY8" s="23">
        <v>0</v>
      </c>
      <c r="AZ8" s="23">
        <f t="shared" si="7"/>
        <v>0</v>
      </c>
    </row>
    <row r="9" spans="1:52" s="23" customFormat="1">
      <c r="A9" s="10"/>
      <c r="B9" s="10"/>
      <c r="C9" s="6"/>
      <c r="D9" s="6" t="s">
        <v>21</v>
      </c>
      <c r="E9" s="7">
        <v>48020102</v>
      </c>
      <c r="F9" s="8" t="s">
        <v>67</v>
      </c>
      <c r="G9" s="10"/>
      <c r="H9" s="9">
        <f t="shared" ref="H9:AW9" si="14">H47+H54+H66+H112+H124+H136</f>
        <v>13087347.921500001</v>
      </c>
      <c r="I9" s="9">
        <f t="shared" si="14"/>
        <v>6347000.0000000037</v>
      </c>
      <c r="J9" s="9">
        <f t="shared" si="14"/>
        <v>10963000</v>
      </c>
      <c r="K9" s="9">
        <f t="shared" si="14"/>
        <v>845000</v>
      </c>
      <c r="L9" s="9">
        <f t="shared" si="14"/>
        <v>2812000</v>
      </c>
      <c r="M9" s="9">
        <f t="shared" si="14"/>
        <v>20967000.000000004</v>
      </c>
      <c r="N9" s="9">
        <f t="shared" si="14"/>
        <v>15618820.140000001</v>
      </c>
      <c r="O9" s="9">
        <f t="shared" si="14"/>
        <v>28706168.061500002</v>
      </c>
      <c r="P9" s="9">
        <f t="shared" si="14"/>
        <v>2286000</v>
      </c>
      <c r="Q9" s="9">
        <f t="shared" si="14"/>
        <v>7254000</v>
      </c>
      <c r="R9" s="9">
        <f t="shared" si="14"/>
        <v>0</v>
      </c>
      <c r="S9" s="9">
        <f t="shared" si="14"/>
        <v>0</v>
      </c>
      <c r="T9" s="9">
        <f t="shared" si="14"/>
        <v>9540000</v>
      </c>
      <c r="U9" s="9">
        <f t="shared" si="14"/>
        <v>9541322.4299999997</v>
      </c>
      <c r="V9" s="9">
        <f t="shared" si="14"/>
        <v>38247490.491500005</v>
      </c>
      <c r="W9" s="9">
        <f t="shared" si="14"/>
        <v>0</v>
      </c>
      <c r="X9" s="9">
        <f t="shared" si="14"/>
        <v>0</v>
      </c>
      <c r="Y9" s="9">
        <f t="shared" si="14"/>
        <v>0</v>
      </c>
      <c r="Z9" s="9">
        <f t="shared" si="14"/>
        <v>0</v>
      </c>
      <c r="AA9" s="9"/>
      <c r="AB9" s="9"/>
      <c r="AC9" s="9"/>
      <c r="AD9" s="66">
        <f t="shared" ref="AD9:AF9" si="15">AD47+AD54+AD66+AD112+AD124+AD136</f>
        <v>0</v>
      </c>
      <c r="AE9" s="9">
        <f t="shared" si="15"/>
        <v>0</v>
      </c>
      <c r="AF9" s="9">
        <f t="shared" si="15"/>
        <v>38247490.491500005</v>
      </c>
      <c r="AG9" s="9">
        <f t="shared" ref="AG9:AQ9" si="16">AG47+AG54+AG66+AG112+AG124+AG136</f>
        <v>0</v>
      </c>
      <c r="AH9" s="9">
        <f t="shared" si="16"/>
        <v>0</v>
      </c>
      <c r="AI9" s="9">
        <f t="shared" si="16"/>
        <v>0</v>
      </c>
      <c r="AJ9" s="9">
        <f t="shared" si="16"/>
        <v>0</v>
      </c>
      <c r="AK9" s="9">
        <f t="shared" si="16"/>
        <v>0</v>
      </c>
      <c r="AL9" s="9">
        <f t="shared" si="16"/>
        <v>0</v>
      </c>
      <c r="AM9" s="9">
        <f t="shared" si="16"/>
        <v>0</v>
      </c>
      <c r="AN9" s="9">
        <f t="shared" si="16"/>
        <v>0</v>
      </c>
      <c r="AO9" s="66">
        <f t="shared" si="16"/>
        <v>0</v>
      </c>
      <c r="AP9" s="66">
        <f t="shared" si="16"/>
        <v>0</v>
      </c>
      <c r="AQ9" s="66">
        <f t="shared" si="16"/>
        <v>0</v>
      </c>
      <c r="AR9" s="9">
        <f t="shared" si="14"/>
        <v>0</v>
      </c>
      <c r="AS9" s="9">
        <f t="shared" si="14"/>
        <v>0</v>
      </c>
      <c r="AT9" s="9">
        <f t="shared" si="14"/>
        <v>0</v>
      </c>
      <c r="AU9" s="9">
        <f t="shared" si="14"/>
        <v>0</v>
      </c>
      <c r="AV9" s="9">
        <f t="shared" ref="AV9" si="17">AV47+AV54+AV66+AV112+AV124+AV136</f>
        <v>0</v>
      </c>
      <c r="AW9" s="9">
        <f t="shared" si="14"/>
        <v>38247490.491500005</v>
      </c>
      <c r="AX9" s="10"/>
      <c r="AY9" s="23">
        <v>41934592.601500005</v>
      </c>
      <c r="AZ9" s="23">
        <f t="shared" si="7"/>
        <v>-3687102.1099999994</v>
      </c>
    </row>
    <row r="10" spans="1:52" s="23" customFormat="1" ht="30">
      <c r="A10" s="10"/>
      <c r="B10" s="10"/>
      <c r="C10" s="6"/>
      <c r="D10" s="6" t="s">
        <v>21</v>
      </c>
      <c r="E10" s="7">
        <v>480201</v>
      </c>
      <c r="F10" s="8" t="s">
        <v>68</v>
      </c>
      <c r="G10" s="10"/>
      <c r="H10" s="9">
        <f t="shared" ref="H10:AW10" si="18">H55+H67+H113+H125+H137</f>
        <v>93939030.419999987</v>
      </c>
      <c r="I10" s="9">
        <f t="shared" si="18"/>
        <v>0</v>
      </c>
      <c r="J10" s="9">
        <f t="shared" si="18"/>
        <v>0</v>
      </c>
      <c r="K10" s="9">
        <f t="shared" si="18"/>
        <v>0</v>
      </c>
      <c r="L10" s="9">
        <f t="shared" si="18"/>
        <v>0</v>
      </c>
      <c r="M10" s="9">
        <f t="shared" si="18"/>
        <v>0</v>
      </c>
      <c r="N10" s="9">
        <f t="shared" si="18"/>
        <v>2816655.05</v>
      </c>
      <c r="O10" s="9">
        <f t="shared" si="18"/>
        <v>96755685.469999984</v>
      </c>
      <c r="P10" s="9">
        <f t="shared" si="18"/>
        <v>0</v>
      </c>
      <c r="Q10" s="9">
        <f t="shared" si="18"/>
        <v>0</v>
      </c>
      <c r="R10" s="9">
        <f t="shared" si="18"/>
        <v>0</v>
      </c>
      <c r="S10" s="9">
        <f t="shared" si="18"/>
        <v>0</v>
      </c>
      <c r="T10" s="9">
        <f t="shared" si="18"/>
        <v>0</v>
      </c>
      <c r="U10" s="9">
        <f t="shared" si="18"/>
        <v>0</v>
      </c>
      <c r="V10" s="9">
        <f t="shared" si="18"/>
        <v>96755685.469999984</v>
      </c>
      <c r="W10" s="9">
        <f t="shared" si="18"/>
        <v>0</v>
      </c>
      <c r="X10" s="9">
        <f t="shared" si="18"/>
        <v>0</v>
      </c>
      <c r="Y10" s="9">
        <f t="shared" si="18"/>
        <v>0</v>
      </c>
      <c r="Z10" s="9">
        <f t="shared" si="18"/>
        <v>0</v>
      </c>
      <c r="AA10" s="9"/>
      <c r="AB10" s="9"/>
      <c r="AC10" s="9"/>
      <c r="AD10" s="66">
        <f t="shared" ref="AD10:AF10" si="19">AD55+AD67+AD113+AD125+AD137</f>
        <v>0</v>
      </c>
      <c r="AE10" s="9">
        <f t="shared" si="19"/>
        <v>0</v>
      </c>
      <c r="AF10" s="9">
        <f t="shared" si="19"/>
        <v>96755685.469999984</v>
      </c>
      <c r="AG10" s="9">
        <f t="shared" ref="AG10:AQ10" si="20">AG55+AG67+AG113+AG125+AG137</f>
        <v>0</v>
      </c>
      <c r="AH10" s="9">
        <f t="shared" si="20"/>
        <v>0</v>
      </c>
      <c r="AI10" s="9">
        <f t="shared" si="20"/>
        <v>0</v>
      </c>
      <c r="AJ10" s="9">
        <f t="shared" si="20"/>
        <v>0</v>
      </c>
      <c r="AK10" s="9">
        <f t="shared" si="20"/>
        <v>0</v>
      </c>
      <c r="AL10" s="9">
        <f t="shared" si="20"/>
        <v>0</v>
      </c>
      <c r="AM10" s="9">
        <f t="shared" si="20"/>
        <v>0</v>
      </c>
      <c r="AN10" s="9">
        <f t="shared" si="20"/>
        <v>0</v>
      </c>
      <c r="AO10" s="66">
        <f t="shared" si="20"/>
        <v>0</v>
      </c>
      <c r="AP10" s="66">
        <f t="shared" si="20"/>
        <v>0</v>
      </c>
      <c r="AQ10" s="66">
        <f t="shared" si="20"/>
        <v>0</v>
      </c>
      <c r="AR10" s="9">
        <f t="shared" si="18"/>
        <v>0</v>
      </c>
      <c r="AS10" s="9">
        <f t="shared" si="18"/>
        <v>0</v>
      </c>
      <c r="AT10" s="9">
        <f t="shared" si="18"/>
        <v>0</v>
      </c>
      <c r="AU10" s="9">
        <f t="shared" si="18"/>
        <v>0</v>
      </c>
      <c r="AV10" s="9">
        <f t="shared" ref="AV10" si="21">AV55+AV67+AV113+AV125+AV137</f>
        <v>0</v>
      </c>
      <c r="AW10" s="9">
        <f t="shared" si="18"/>
        <v>96755685.469999984</v>
      </c>
      <c r="AX10" s="10"/>
      <c r="AY10" s="23">
        <v>96755685.469999984</v>
      </c>
      <c r="AZ10" s="23">
        <f t="shared" si="7"/>
        <v>0</v>
      </c>
    </row>
    <row r="11" spans="1:52" s="23" customFormat="1">
      <c r="A11" s="10"/>
      <c r="B11" s="10"/>
      <c r="C11" s="6"/>
      <c r="D11" s="6" t="s">
        <v>21</v>
      </c>
      <c r="E11" s="7">
        <v>48020202</v>
      </c>
      <c r="F11" s="8" t="s">
        <v>70</v>
      </c>
      <c r="G11" s="10"/>
      <c r="H11" s="9">
        <f t="shared" ref="H11:AW12" si="22">H78+H89</f>
        <v>120686.31</v>
      </c>
      <c r="I11" s="9">
        <f t="shared" si="22"/>
        <v>103000</v>
      </c>
      <c r="J11" s="9">
        <f t="shared" si="22"/>
        <v>111000</v>
      </c>
      <c r="K11" s="9">
        <f t="shared" si="22"/>
        <v>19000</v>
      </c>
      <c r="L11" s="9">
        <f t="shared" si="22"/>
        <v>49000</v>
      </c>
      <c r="M11" s="9">
        <f t="shared" si="22"/>
        <v>282000</v>
      </c>
      <c r="N11" s="9">
        <f t="shared" si="22"/>
        <v>229829.65</v>
      </c>
      <c r="O11" s="9">
        <f t="shared" si="22"/>
        <v>350515.95999999996</v>
      </c>
      <c r="P11" s="9">
        <f t="shared" si="22"/>
        <v>111000</v>
      </c>
      <c r="Q11" s="9">
        <f t="shared" si="22"/>
        <v>0</v>
      </c>
      <c r="R11" s="9">
        <f t="shared" si="22"/>
        <v>0</v>
      </c>
      <c r="S11" s="9">
        <f t="shared" si="22"/>
        <v>0</v>
      </c>
      <c r="T11" s="9">
        <f t="shared" si="22"/>
        <v>111000</v>
      </c>
      <c r="U11" s="9">
        <f t="shared" si="22"/>
        <v>100549.41</v>
      </c>
      <c r="V11" s="9">
        <f t="shared" si="22"/>
        <v>451065.37</v>
      </c>
      <c r="W11" s="9">
        <f t="shared" si="22"/>
        <v>0</v>
      </c>
      <c r="X11" s="9">
        <f t="shared" si="22"/>
        <v>0</v>
      </c>
      <c r="Y11" s="9">
        <f t="shared" si="22"/>
        <v>0</v>
      </c>
      <c r="Z11" s="9">
        <f t="shared" si="22"/>
        <v>0</v>
      </c>
      <c r="AA11" s="9"/>
      <c r="AB11" s="9"/>
      <c r="AC11" s="9"/>
      <c r="AD11" s="66">
        <f t="shared" ref="AD11:AF11" si="23">AD78+AD89</f>
        <v>0</v>
      </c>
      <c r="AE11" s="9">
        <f t="shared" si="23"/>
        <v>-70412.149999999994</v>
      </c>
      <c r="AF11" s="9">
        <f t="shared" si="23"/>
        <v>380653.22</v>
      </c>
      <c r="AG11" s="9">
        <f t="shared" ref="AG11:AQ11" si="24">AG78+AG89</f>
        <v>0</v>
      </c>
      <c r="AH11" s="9">
        <f t="shared" si="24"/>
        <v>0</v>
      </c>
      <c r="AI11" s="9">
        <f t="shared" si="24"/>
        <v>0</v>
      </c>
      <c r="AJ11" s="9">
        <f t="shared" si="24"/>
        <v>0</v>
      </c>
      <c r="AK11" s="9">
        <f t="shared" si="24"/>
        <v>0</v>
      </c>
      <c r="AL11" s="9">
        <f t="shared" si="24"/>
        <v>0</v>
      </c>
      <c r="AM11" s="9">
        <f t="shared" si="24"/>
        <v>0</v>
      </c>
      <c r="AN11" s="9">
        <f t="shared" si="24"/>
        <v>0</v>
      </c>
      <c r="AO11" s="66">
        <f t="shared" si="24"/>
        <v>0</v>
      </c>
      <c r="AP11" s="66">
        <f t="shared" si="24"/>
        <v>0</v>
      </c>
      <c r="AQ11" s="66">
        <f t="shared" si="24"/>
        <v>0</v>
      </c>
      <c r="AR11" s="9">
        <f t="shared" si="22"/>
        <v>0</v>
      </c>
      <c r="AS11" s="9">
        <f t="shared" si="22"/>
        <v>0</v>
      </c>
      <c r="AT11" s="9">
        <f t="shared" si="22"/>
        <v>0</v>
      </c>
      <c r="AU11" s="9">
        <f t="shared" si="22"/>
        <v>0</v>
      </c>
      <c r="AV11" s="9">
        <f t="shared" ref="AV11" si="25">AV78+AV89</f>
        <v>0</v>
      </c>
      <c r="AW11" s="9">
        <f t="shared" si="22"/>
        <v>380653.22</v>
      </c>
      <c r="AX11" s="10"/>
      <c r="AY11" s="23">
        <v>3283782.7</v>
      </c>
      <c r="AZ11" s="23">
        <f t="shared" si="7"/>
        <v>-2903129.4800000004</v>
      </c>
    </row>
    <row r="12" spans="1:52" s="23" customFormat="1" ht="30">
      <c r="A12" s="10"/>
      <c r="B12" s="10"/>
      <c r="C12" s="6"/>
      <c r="D12" s="6" t="s">
        <v>21</v>
      </c>
      <c r="E12" s="7">
        <v>480202</v>
      </c>
      <c r="F12" s="8" t="s">
        <v>71</v>
      </c>
      <c r="G12" s="10"/>
      <c r="H12" s="9">
        <f t="shared" ref="H12:U12" si="26">H79+H90</f>
        <v>0</v>
      </c>
      <c r="I12" s="9">
        <f t="shared" si="26"/>
        <v>0</v>
      </c>
      <c r="J12" s="9">
        <f t="shared" si="26"/>
        <v>0</v>
      </c>
      <c r="K12" s="9">
        <f t="shared" si="26"/>
        <v>0</v>
      </c>
      <c r="L12" s="9">
        <f t="shared" si="26"/>
        <v>0</v>
      </c>
      <c r="M12" s="9">
        <f t="shared" si="26"/>
        <v>0</v>
      </c>
      <c r="N12" s="9">
        <f t="shared" si="26"/>
        <v>0</v>
      </c>
      <c r="O12" s="9">
        <f t="shared" si="26"/>
        <v>0</v>
      </c>
      <c r="P12" s="9">
        <f t="shared" si="26"/>
        <v>0</v>
      </c>
      <c r="Q12" s="9">
        <f t="shared" si="26"/>
        <v>0</v>
      </c>
      <c r="R12" s="9">
        <f t="shared" si="26"/>
        <v>0</v>
      </c>
      <c r="S12" s="9">
        <f t="shared" si="26"/>
        <v>0</v>
      </c>
      <c r="T12" s="9">
        <f t="shared" si="26"/>
        <v>0</v>
      </c>
      <c r="U12" s="9">
        <f t="shared" si="26"/>
        <v>0</v>
      </c>
      <c r="V12" s="9">
        <f t="shared" si="22"/>
        <v>0</v>
      </c>
      <c r="W12" s="9">
        <f t="shared" si="22"/>
        <v>0</v>
      </c>
      <c r="X12" s="9">
        <f t="shared" si="22"/>
        <v>0</v>
      </c>
      <c r="Y12" s="9">
        <f t="shared" si="22"/>
        <v>0</v>
      </c>
      <c r="Z12" s="9">
        <f t="shared" si="22"/>
        <v>0</v>
      </c>
      <c r="AA12" s="9"/>
      <c r="AB12" s="9"/>
      <c r="AC12" s="9"/>
      <c r="AD12" s="66">
        <f t="shared" ref="AD12:AF12" si="27">AD79+AD90</f>
        <v>0</v>
      </c>
      <c r="AE12" s="9">
        <f t="shared" si="27"/>
        <v>0</v>
      </c>
      <c r="AF12" s="9">
        <f t="shared" si="27"/>
        <v>0</v>
      </c>
      <c r="AG12" s="9">
        <f t="shared" ref="AG12:AQ12" si="28">AG79+AG90</f>
        <v>0</v>
      </c>
      <c r="AH12" s="9">
        <f t="shared" si="28"/>
        <v>0</v>
      </c>
      <c r="AI12" s="9">
        <f t="shared" si="28"/>
        <v>0</v>
      </c>
      <c r="AJ12" s="9">
        <f t="shared" si="28"/>
        <v>0</v>
      </c>
      <c r="AK12" s="9">
        <f t="shared" si="28"/>
        <v>0</v>
      </c>
      <c r="AL12" s="9">
        <f t="shared" si="28"/>
        <v>0</v>
      </c>
      <c r="AM12" s="9">
        <f t="shared" si="28"/>
        <v>0</v>
      </c>
      <c r="AN12" s="9">
        <f t="shared" si="28"/>
        <v>0</v>
      </c>
      <c r="AO12" s="66">
        <f t="shared" si="28"/>
        <v>0</v>
      </c>
      <c r="AP12" s="66">
        <f t="shared" si="28"/>
        <v>0</v>
      </c>
      <c r="AQ12" s="66">
        <f t="shared" si="28"/>
        <v>0</v>
      </c>
      <c r="AR12" s="9">
        <f t="shared" si="22"/>
        <v>0</v>
      </c>
      <c r="AS12" s="9">
        <f t="shared" si="22"/>
        <v>0</v>
      </c>
      <c r="AT12" s="9">
        <f t="shared" si="22"/>
        <v>0</v>
      </c>
      <c r="AU12" s="9">
        <f t="shared" si="22"/>
        <v>0</v>
      </c>
      <c r="AV12" s="9">
        <f t="shared" ref="AV12" si="29">AV79+AV90</f>
        <v>0</v>
      </c>
      <c r="AW12" s="9">
        <f t="shared" si="22"/>
        <v>0</v>
      </c>
      <c r="AX12" s="10"/>
      <c r="AY12" s="23">
        <v>29581207.469999999</v>
      </c>
      <c r="AZ12" s="23">
        <f t="shared" si="7"/>
        <v>-29581207.469999999</v>
      </c>
    </row>
    <row r="13" spans="1:52" s="23" customFormat="1" ht="30">
      <c r="A13" s="10"/>
      <c r="B13" s="10"/>
      <c r="C13" s="6"/>
      <c r="D13" s="6" t="s">
        <v>21</v>
      </c>
      <c r="E13" s="7" t="s">
        <v>37</v>
      </c>
      <c r="F13" s="8" t="s">
        <v>69</v>
      </c>
      <c r="G13" s="10"/>
      <c r="H13" s="9">
        <f t="shared" ref="H13:AW13" si="30">H48+H56+H68+H80+H91+H114+H126+H138</f>
        <v>7163174.9046999998</v>
      </c>
      <c r="I13" s="9">
        <f t="shared" si="30"/>
        <v>904999.99999999988</v>
      </c>
      <c r="J13" s="9">
        <f t="shared" si="30"/>
        <v>3322000</v>
      </c>
      <c r="K13" s="9">
        <f t="shared" si="30"/>
        <v>75000</v>
      </c>
      <c r="L13" s="9">
        <f t="shared" si="30"/>
        <v>407000</v>
      </c>
      <c r="M13" s="9">
        <f t="shared" si="30"/>
        <v>4709000</v>
      </c>
      <c r="N13" s="9">
        <f t="shared" si="30"/>
        <v>4455211.4799999995</v>
      </c>
      <c r="O13" s="9">
        <f t="shared" si="30"/>
        <v>11618386.3847</v>
      </c>
      <c r="P13" s="9">
        <f t="shared" si="30"/>
        <v>185000</v>
      </c>
      <c r="Q13" s="9">
        <f t="shared" si="30"/>
        <v>1536000</v>
      </c>
      <c r="R13" s="9">
        <f t="shared" si="30"/>
        <v>0</v>
      </c>
      <c r="S13" s="9">
        <f t="shared" si="30"/>
        <v>0</v>
      </c>
      <c r="T13" s="9">
        <f t="shared" si="30"/>
        <v>1721000</v>
      </c>
      <c r="U13" s="9">
        <f t="shared" si="30"/>
        <v>7665733.4400000004</v>
      </c>
      <c r="V13" s="9">
        <f t="shared" si="30"/>
        <v>19284119.824699998</v>
      </c>
      <c r="W13" s="9">
        <f t="shared" si="30"/>
        <v>0</v>
      </c>
      <c r="X13" s="9">
        <f t="shared" si="30"/>
        <v>0</v>
      </c>
      <c r="Y13" s="9">
        <f t="shared" si="30"/>
        <v>0</v>
      </c>
      <c r="Z13" s="9">
        <f t="shared" si="30"/>
        <v>0</v>
      </c>
      <c r="AA13" s="9"/>
      <c r="AB13" s="9"/>
      <c r="AC13" s="9"/>
      <c r="AD13" s="66">
        <f t="shared" ref="AD13:AF13" si="31">AD48+AD56+AD68+AD80+AD91+AD114+AD126+AD138</f>
        <v>0</v>
      </c>
      <c r="AE13" s="9">
        <f t="shared" si="31"/>
        <v>-11307.3</v>
      </c>
      <c r="AF13" s="9">
        <f t="shared" si="31"/>
        <v>19272812.524700001</v>
      </c>
      <c r="AG13" s="9">
        <f t="shared" ref="AG13:AQ13" si="32">AG48+AG56+AG68+AG80+AG91+AG114+AG126+AG138</f>
        <v>0</v>
      </c>
      <c r="AH13" s="9">
        <f t="shared" si="32"/>
        <v>0</v>
      </c>
      <c r="AI13" s="9">
        <f t="shared" si="32"/>
        <v>0</v>
      </c>
      <c r="AJ13" s="9">
        <f t="shared" si="32"/>
        <v>0</v>
      </c>
      <c r="AK13" s="9">
        <f t="shared" si="32"/>
        <v>0</v>
      </c>
      <c r="AL13" s="9">
        <f t="shared" si="32"/>
        <v>0</v>
      </c>
      <c r="AM13" s="9">
        <f t="shared" si="32"/>
        <v>0</v>
      </c>
      <c r="AN13" s="9">
        <f t="shared" si="32"/>
        <v>0</v>
      </c>
      <c r="AO13" s="66">
        <f t="shared" si="32"/>
        <v>0</v>
      </c>
      <c r="AP13" s="66">
        <f t="shared" si="32"/>
        <v>0</v>
      </c>
      <c r="AQ13" s="66">
        <f t="shared" si="32"/>
        <v>0</v>
      </c>
      <c r="AR13" s="9">
        <f t="shared" si="30"/>
        <v>0</v>
      </c>
      <c r="AS13" s="9">
        <f t="shared" si="30"/>
        <v>0</v>
      </c>
      <c r="AT13" s="9">
        <f t="shared" si="30"/>
        <v>0</v>
      </c>
      <c r="AU13" s="9">
        <f t="shared" si="30"/>
        <v>0</v>
      </c>
      <c r="AV13" s="9">
        <f t="shared" ref="AV13" si="33">AV48+AV56+AV68+AV80+AV91+AV114+AV126+AV138</f>
        <v>0</v>
      </c>
      <c r="AW13" s="9">
        <f t="shared" si="30"/>
        <v>19272812.524700001</v>
      </c>
      <c r="AX13" s="10"/>
      <c r="AY13" s="23">
        <v>18738498.804700002</v>
      </c>
      <c r="AZ13" s="23">
        <f t="shared" si="7"/>
        <v>534313.71999999881</v>
      </c>
    </row>
    <row r="14" spans="1:52" s="23" customFormat="1" ht="30">
      <c r="A14" s="10"/>
      <c r="B14" s="10"/>
      <c r="C14" s="6"/>
      <c r="D14" s="6" t="s">
        <v>21</v>
      </c>
      <c r="E14" s="7" t="s">
        <v>62</v>
      </c>
      <c r="F14" s="8" t="s">
        <v>52</v>
      </c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66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66"/>
      <c r="AP14" s="66"/>
      <c r="AQ14" s="66"/>
      <c r="AR14" s="9"/>
      <c r="AS14" s="9"/>
      <c r="AT14" s="9"/>
      <c r="AU14" s="9"/>
      <c r="AV14" s="9"/>
      <c r="AW14" s="9"/>
      <c r="AX14" s="10"/>
      <c r="AZ14" s="23">
        <f t="shared" si="7"/>
        <v>0</v>
      </c>
    </row>
    <row r="15" spans="1:52" s="23" customFormat="1" ht="30">
      <c r="A15" s="10"/>
      <c r="B15" s="10"/>
      <c r="C15" s="6"/>
      <c r="D15" s="6" t="s">
        <v>21</v>
      </c>
      <c r="E15" s="7">
        <v>42028801</v>
      </c>
      <c r="F15" s="8" t="s">
        <v>44</v>
      </c>
      <c r="G15" s="10"/>
      <c r="H15" s="9">
        <f t="shared" ref="H15:U15" si="34">H254+H266+H283+H292+H325+H301+H276</f>
        <v>0</v>
      </c>
      <c r="I15" s="9">
        <f t="shared" si="34"/>
        <v>0</v>
      </c>
      <c r="J15" s="9">
        <f t="shared" si="34"/>
        <v>0</v>
      </c>
      <c r="K15" s="9">
        <f t="shared" si="34"/>
        <v>562000</v>
      </c>
      <c r="L15" s="9">
        <f t="shared" si="34"/>
        <v>8000</v>
      </c>
      <c r="M15" s="9">
        <f t="shared" si="34"/>
        <v>570000</v>
      </c>
      <c r="N15" s="9">
        <f t="shared" si="34"/>
        <v>0</v>
      </c>
      <c r="O15" s="9">
        <f t="shared" si="34"/>
        <v>0</v>
      </c>
      <c r="P15" s="9">
        <f t="shared" si="34"/>
        <v>17000</v>
      </c>
      <c r="Q15" s="9">
        <f t="shared" si="34"/>
        <v>0</v>
      </c>
      <c r="R15" s="9">
        <f t="shared" si="34"/>
        <v>0</v>
      </c>
      <c r="S15" s="9">
        <f t="shared" si="34"/>
        <v>30173000</v>
      </c>
      <c r="T15" s="9">
        <f t="shared" si="34"/>
        <v>30190000</v>
      </c>
      <c r="U15" s="9">
        <f t="shared" si="34"/>
        <v>0</v>
      </c>
      <c r="V15" s="9">
        <f>V254+V266+V283+V292+V325+V301+V276+V227+V241+V313</f>
        <v>0</v>
      </c>
      <c r="W15" s="9">
        <f>W254+W266+W283+W292+W325+W301+W276+W227+W241+W313</f>
        <v>27313000</v>
      </c>
      <c r="X15" s="9">
        <f>X254+X266+X283+X292+X325+X301+X276+X227+X241+X313</f>
        <v>5511000</v>
      </c>
      <c r="Y15" s="9">
        <f>Y254+Y266+Y283+Y292+Y325+Y301+Y276+Y227+Y241+Y313</f>
        <v>12277000</v>
      </c>
      <c r="Z15" s="9">
        <f>Z254+Z266+Z283+Z292+Z325+Z301+Z276+Z227+Z241+Z313</f>
        <v>3701000</v>
      </c>
      <c r="AA15" s="9"/>
      <c r="AB15" s="9"/>
      <c r="AC15" s="9"/>
      <c r="AD15" s="66">
        <f t="shared" ref="AD15:AW15" si="35">AD254+AD266+AD283+AD292+AD325+AD301+AD276+AD227+AD241+AD313</f>
        <v>48802000</v>
      </c>
      <c r="AE15" s="9">
        <f t="shared" si="35"/>
        <v>38348773.039999999</v>
      </c>
      <c r="AF15" s="9">
        <f t="shared" si="35"/>
        <v>38348773.039999999</v>
      </c>
      <c r="AG15" s="9">
        <f t="shared" si="35"/>
        <v>8838000</v>
      </c>
      <c r="AH15" s="9">
        <f t="shared" si="35"/>
        <v>0</v>
      </c>
      <c r="AI15" s="9">
        <f t="shared" si="35"/>
        <v>8466000</v>
      </c>
      <c r="AJ15" s="9">
        <f t="shared" si="35"/>
        <v>0</v>
      </c>
      <c r="AK15" s="9">
        <f t="shared" si="35"/>
        <v>502000</v>
      </c>
      <c r="AL15" s="9">
        <f t="shared" si="35"/>
        <v>0</v>
      </c>
      <c r="AM15" s="9">
        <f t="shared" si="35"/>
        <v>0</v>
      </c>
      <c r="AN15" s="9">
        <f t="shared" si="35"/>
        <v>0</v>
      </c>
      <c r="AO15" s="66">
        <f t="shared" si="35"/>
        <v>17806000</v>
      </c>
      <c r="AP15" s="66">
        <f t="shared" si="35"/>
        <v>0</v>
      </c>
      <c r="AQ15" s="66">
        <f t="shared" si="35"/>
        <v>17806000</v>
      </c>
      <c r="AR15" s="9">
        <f t="shared" si="35"/>
        <v>-2358.56</v>
      </c>
      <c r="AS15" s="9">
        <f t="shared" si="35"/>
        <v>0</v>
      </c>
      <c r="AT15" s="9">
        <f t="shared" si="35"/>
        <v>0</v>
      </c>
      <c r="AU15" s="9">
        <f t="shared" si="35"/>
        <v>0</v>
      </c>
      <c r="AV15" s="9">
        <f t="shared" si="35"/>
        <v>0</v>
      </c>
      <c r="AW15" s="9">
        <f t="shared" si="35"/>
        <v>56152414.479999997</v>
      </c>
      <c r="AX15" s="10"/>
      <c r="AY15" s="23">
        <v>30189560</v>
      </c>
      <c r="AZ15" s="23">
        <f t="shared" si="7"/>
        <v>25962854.479999997</v>
      </c>
    </row>
    <row r="16" spans="1:52" s="23" customFormat="1" ht="30">
      <c r="A16" s="10"/>
      <c r="B16" s="10"/>
      <c r="C16" s="6"/>
      <c r="D16" s="6" t="s">
        <v>21</v>
      </c>
      <c r="E16" s="7">
        <v>42028802</v>
      </c>
      <c r="F16" s="8" t="s">
        <v>45</v>
      </c>
      <c r="G16" s="10"/>
      <c r="H16" s="9">
        <f t="shared" ref="H16:U16" si="36">H255+H267+H284+H293+H326+H302</f>
        <v>0</v>
      </c>
      <c r="I16" s="9">
        <f t="shared" si="36"/>
        <v>0</v>
      </c>
      <c r="J16" s="9">
        <f t="shared" si="36"/>
        <v>0</v>
      </c>
      <c r="K16" s="9">
        <f t="shared" si="36"/>
        <v>0</v>
      </c>
      <c r="L16" s="9">
        <f t="shared" si="36"/>
        <v>0</v>
      </c>
      <c r="M16" s="9">
        <f t="shared" si="36"/>
        <v>0</v>
      </c>
      <c r="N16" s="9">
        <f t="shared" si="36"/>
        <v>0</v>
      </c>
      <c r="O16" s="9">
        <f t="shared" si="36"/>
        <v>0</v>
      </c>
      <c r="P16" s="9">
        <f t="shared" si="36"/>
        <v>0</v>
      </c>
      <c r="Q16" s="9">
        <f t="shared" si="36"/>
        <v>0</v>
      </c>
      <c r="R16" s="9">
        <f t="shared" si="36"/>
        <v>0</v>
      </c>
      <c r="S16" s="9">
        <f t="shared" si="36"/>
        <v>0</v>
      </c>
      <c r="T16" s="9">
        <f t="shared" si="36"/>
        <v>0</v>
      </c>
      <c r="U16" s="9">
        <f t="shared" si="36"/>
        <v>0</v>
      </c>
      <c r="V16" s="9">
        <f t="shared" ref="V16:Z17" si="37">V255+V267+V284+V293+V326+V302+V228+V242+V314</f>
        <v>0</v>
      </c>
      <c r="W16" s="9">
        <f t="shared" si="37"/>
        <v>0</v>
      </c>
      <c r="X16" s="9">
        <f t="shared" si="37"/>
        <v>0</v>
      </c>
      <c r="Y16" s="9">
        <f t="shared" si="37"/>
        <v>0</v>
      </c>
      <c r="Z16" s="9">
        <f t="shared" si="37"/>
        <v>0</v>
      </c>
      <c r="AA16" s="9"/>
      <c r="AB16" s="9"/>
      <c r="AC16" s="9"/>
      <c r="AD16" s="66">
        <f t="shared" ref="AD16:AW16" si="38">AD255+AD267+AD284+AD293+AD326+AD302+AD228+AD242+AD314</f>
        <v>0</v>
      </c>
      <c r="AE16" s="9">
        <f t="shared" si="38"/>
        <v>0</v>
      </c>
      <c r="AF16" s="9">
        <f t="shared" si="38"/>
        <v>0</v>
      </c>
      <c r="AG16" s="9">
        <f t="shared" si="38"/>
        <v>0</v>
      </c>
      <c r="AH16" s="9">
        <f t="shared" si="38"/>
        <v>0</v>
      </c>
      <c r="AI16" s="9">
        <f t="shared" si="38"/>
        <v>0</v>
      </c>
      <c r="AJ16" s="9">
        <f t="shared" si="38"/>
        <v>0</v>
      </c>
      <c r="AK16" s="9">
        <f t="shared" si="38"/>
        <v>0</v>
      </c>
      <c r="AL16" s="9">
        <f t="shared" si="38"/>
        <v>0</v>
      </c>
      <c r="AM16" s="9">
        <f t="shared" si="38"/>
        <v>0</v>
      </c>
      <c r="AN16" s="9">
        <f t="shared" si="38"/>
        <v>0</v>
      </c>
      <c r="AO16" s="66">
        <f t="shared" si="38"/>
        <v>0</v>
      </c>
      <c r="AP16" s="66">
        <f t="shared" si="38"/>
        <v>0</v>
      </c>
      <c r="AQ16" s="66">
        <f t="shared" si="38"/>
        <v>0</v>
      </c>
      <c r="AR16" s="9">
        <f t="shared" si="38"/>
        <v>0</v>
      </c>
      <c r="AS16" s="9">
        <f t="shared" si="38"/>
        <v>0</v>
      </c>
      <c r="AT16" s="9">
        <f t="shared" si="38"/>
        <v>0</v>
      </c>
      <c r="AU16" s="9">
        <f t="shared" si="38"/>
        <v>0</v>
      </c>
      <c r="AV16" s="9">
        <f t="shared" si="38"/>
        <v>0</v>
      </c>
      <c r="AW16" s="9">
        <f t="shared" si="38"/>
        <v>0</v>
      </c>
      <c r="AX16" s="10"/>
      <c r="AY16" s="23">
        <v>0</v>
      </c>
      <c r="AZ16" s="23">
        <f t="shared" si="7"/>
        <v>0</v>
      </c>
    </row>
    <row r="17" spans="1:52" s="23" customFormat="1">
      <c r="A17" s="10"/>
      <c r="B17" s="10"/>
      <c r="C17" s="6"/>
      <c r="D17" s="6" t="s">
        <v>21</v>
      </c>
      <c r="E17" s="7">
        <v>42028803</v>
      </c>
      <c r="F17" s="8" t="s">
        <v>46</v>
      </c>
      <c r="G17" s="10"/>
      <c r="H17" s="9">
        <f t="shared" ref="H17:U17" si="39">H256+H268+H285+H294+H327+H303</f>
        <v>0</v>
      </c>
      <c r="I17" s="9">
        <f t="shared" si="39"/>
        <v>0</v>
      </c>
      <c r="J17" s="9">
        <f t="shared" si="39"/>
        <v>0</v>
      </c>
      <c r="K17" s="9">
        <f t="shared" si="39"/>
        <v>107000</v>
      </c>
      <c r="L17" s="9">
        <f t="shared" si="39"/>
        <v>2000</v>
      </c>
      <c r="M17" s="9">
        <f t="shared" si="39"/>
        <v>109000</v>
      </c>
      <c r="N17" s="9">
        <f t="shared" si="39"/>
        <v>0</v>
      </c>
      <c r="O17" s="9">
        <f t="shared" si="39"/>
        <v>0</v>
      </c>
      <c r="P17" s="9">
        <f t="shared" si="39"/>
        <v>0</v>
      </c>
      <c r="Q17" s="9">
        <f t="shared" si="39"/>
        <v>0</v>
      </c>
      <c r="R17" s="9">
        <f t="shared" si="39"/>
        <v>0</v>
      </c>
      <c r="S17" s="9">
        <f t="shared" si="39"/>
        <v>5733000</v>
      </c>
      <c r="T17" s="9">
        <f t="shared" si="39"/>
        <v>5733000</v>
      </c>
      <c r="U17" s="9">
        <f t="shared" si="39"/>
        <v>0</v>
      </c>
      <c r="V17" s="9">
        <f t="shared" si="37"/>
        <v>0</v>
      </c>
      <c r="W17" s="9">
        <f t="shared" si="37"/>
        <v>5038000</v>
      </c>
      <c r="X17" s="9">
        <f t="shared" si="37"/>
        <v>1037000</v>
      </c>
      <c r="Y17" s="9">
        <f t="shared" si="37"/>
        <v>2333000</v>
      </c>
      <c r="Z17" s="9">
        <f t="shared" si="37"/>
        <v>703000</v>
      </c>
      <c r="AA17" s="9"/>
      <c r="AB17" s="9"/>
      <c r="AC17" s="9"/>
      <c r="AD17" s="66">
        <f t="shared" ref="AD17:AW17" si="40">AD256+AD268+AD285+AD294+AD327+AD303+AD229+AD243+AD315</f>
        <v>9111000</v>
      </c>
      <c r="AE17" s="9">
        <f t="shared" si="40"/>
        <v>7347531.6099999994</v>
      </c>
      <c r="AF17" s="9">
        <f t="shared" si="40"/>
        <v>7347531.6099999994</v>
      </c>
      <c r="AG17" s="9">
        <f t="shared" si="40"/>
        <v>1713000</v>
      </c>
      <c r="AH17" s="9">
        <f t="shared" si="40"/>
        <v>0</v>
      </c>
      <c r="AI17" s="9">
        <f t="shared" si="40"/>
        <v>1681000</v>
      </c>
      <c r="AJ17" s="9">
        <f t="shared" si="40"/>
        <v>0</v>
      </c>
      <c r="AK17" s="9">
        <f t="shared" si="40"/>
        <v>0</v>
      </c>
      <c r="AL17" s="9">
        <f t="shared" si="40"/>
        <v>0</v>
      </c>
      <c r="AM17" s="9">
        <f t="shared" si="40"/>
        <v>0</v>
      </c>
      <c r="AN17" s="9">
        <f t="shared" si="40"/>
        <v>0</v>
      </c>
      <c r="AO17" s="66">
        <f t="shared" si="40"/>
        <v>3394000</v>
      </c>
      <c r="AP17" s="66">
        <f t="shared" si="40"/>
        <v>0</v>
      </c>
      <c r="AQ17" s="66">
        <f t="shared" si="40"/>
        <v>3394000</v>
      </c>
      <c r="AR17" s="9">
        <f t="shared" si="40"/>
        <v>-2122.58</v>
      </c>
      <c r="AS17" s="9">
        <f t="shared" si="40"/>
        <v>0</v>
      </c>
      <c r="AT17" s="9">
        <f t="shared" si="40"/>
        <v>0</v>
      </c>
      <c r="AU17" s="9">
        <f t="shared" si="40"/>
        <v>0</v>
      </c>
      <c r="AV17" s="9">
        <f t="shared" si="40"/>
        <v>0</v>
      </c>
      <c r="AW17" s="9">
        <f t="shared" si="40"/>
        <v>10739409.030000001</v>
      </c>
      <c r="AX17" s="10"/>
      <c r="AY17" s="23">
        <v>5732787</v>
      </c>
      <c r="AZ17" s="23">
        <f t="shared" si="7"/>
        <v>5006622.0300000012</v>
      </c>
    </row>
    <row r="18" spans="1:52" s="23" customFormat="1" ht="30">
      <c r="A18" s="10"/>
      <c r="B18" s="10"/>
      <c r="C18" s="6"/>
      <c r="D18" s="6" t="s">
        <v>21</v>
      </c>
      <c r="E18" s="7">
        <v>42028901</v>
      </c>
      <c r="F18" s="8" t="s">
        <v>86</v>
      </c>
      <c r="G18" s="10"/>
      <c r="H18" s="9">
        <f t="shared" ref="H18:U18" si="41">H227+H238+H310+H342+H328</f>
        <v>0</v>
      </c>
      <c r="I18" s="9">
        <f t="shared" si="41"/>
        <v>3781000</v>
      </c>
      <c r="J18" s="9">
        <f t="shared" si="41"/>
        <v>0</v>
      </c>
      <c r="K18" s="9">
        <f t="shared" si="41"/>
        <v>0</v>
      </c>
      <c r="L18" s="9">
        <f t="shared" si="41"/>
        <v>0</v>
      </c>
      <c r="M18" s="9">
        <f t="shared" si="41"/>
        <v>3781000</v>
      </c>
      <c r="N18" s="9">
        <f t="shared" si="41"/>
        <v>118200</v>
      </c>
      <c r="O18" s="9">
        <f t="shared" si="41"/>
        <v>118200</v>
      </c>
      <c r="P18" s="9">
        <f t="shared" si="41"/>
        <v>1677000.0000000005</v>
      </c>
      <c r="Q18" s="9">
        <f t="shared" si="41"/>
        <v>2516000</v>
      </c>
      <c r="R18" s="9">
        <f t="shared" si="41"/>
        <v>8931000.0000000037</v>
      </c>
      <c r="S18" s="9">
        <f t="shared" si="41"/>
        <v>6965000</v>
      </c>
      <c r="T18" s="9">
        <f t="shared" si="41"/>
        <v>20089000</v>
      </c>
      <c r="U18" s="9">
        <f t="shared" si="41"/>
        <v>1528948.28</v>
      </c>
      <c r="V18" s="9">
        <f t="shared" ref="V18:Z20" si="42">V238+V310+V342+V328</f>
        <v>1647148.28</v>
      </c>
      <c r="W18" s="9">
        <f t="shared" si="42"/>
        <v>1804000</v>
      </c>
      <c r="X18" s="9">
        <f t="shared" si="42"/>
        <v>4066000</v>
      </c>
      <c r="Y18" s="9">
        <f t="shared" si="42"/>
        <v>2455000</v>
      </c>
      <c r="Z18" s="9">
        <f t="shared" si="42"/>
        <v>1804000</v>
      </c>
      <c r="AA18" s="9"/>
      <c r="AB18" s="9"/>
      <c r="AC18" s="9"/>
      <c r="AD18" s="66">
        <f t="shared" ref="AD18:AW18" si="43">AD238+AD310+AD342+AD328</f>
        <v>10129000</v>
      </c>
      <c r="AE18" s="9">
        <f t="shared" si="43"/>
        <v>3467458.6100000003</v>
      </c>
      <c r="AF18" s="9">
        <f t="shared" si="43"/>
        <v>5114606.8900000006</v>
      </c>
      <c r="AG18" s="9">
        <f t="shared" si="43"/>
        <v>7232000</v>
      </c>
      <c r="AH18" s="9">
        <f t="shared" si="43"/>
        <v>0</v>
      </c>
      <c r="AI18" s="9">
        <f t="shared" si="43"/>
        <v>30000</v>
      </c>
      <c r="AJ18" s="9">
        <f t="shared" si="43"/>
        <v>0</v>
      </c>
      <c r="AK18" s="9">
        <f t="shared" si="43"/>
        <v>0</v>
      </c>
      <c r="AL18" s="9">
        <f t="shared" si="43"/>
        <v>0</v>
      </c>
      <c r="AM18" s="9">
        <f t="shared" si="43"/>
        <v>0</v>
      </c>
      <c r="AN18" s="9">
        <f t="shared" si="43"/>
        <v>0</v>
      </c>
      <c r="AO18" s="66">
        <f t="shared" si="43"/>
        <v>7262000</v>
      </c>
      <c r="AP18" s="66">
        <f t="shared" si="43"/>
        <v>0</v>
      </c>
      <c r="AQ18" s="66">
        <f t="shared" si="43"/>
        <v>7262000</v>
      </c>
      <c r="AR18" s="9">
        <f t="shared" si="43"/>
        <v>-743.29</v>
      </c>
      <c r="AS18" s="9">
        <f t="shared" si="43"/>
        <v>0</v>
      </c>
      <c r="AT18" s="9">
        <f t="shared" si="43"/>
        <v>0</v>
      </c>
      <c r="AU18" s="9">
        <f t="shared" si="43"/>
        <v>0</v>
      </c>
      <c r="AV18" s="9">
        <f t="shared" si="43"/>
        <v>0</v>
      </c>
      <c r="AW18" s="9">
        <f t="shared" si="43"/>
        <v>12375863.6</v>
      </c>
      <c r="AX18" s="10"/>
      <c r="AY18" s="23">
        <v>75646340.590336129</v>
      </c>
      <c r="AZ18" s="23">
        <f t="shared" si="7"/>
        <v>-63270476.990336128</v>
      </c>
    </row>
    <row r="19" spans="1:52" s="23" customFormat="1" ht="30">
      <c r="A19" s="10"/>
      <c r="B19" s="10"/>
      <c r="C19" s="6"/>
      <c r="D19" s="6" t="s">
        <v>21</v>
      </c>
      <c r="E19" s="7">
        <v>42028902</v>
      </c>
      <c r="F19" s="8" t="s">
        <v>45</v>
      </c>
      <c r="G19" s="10"/>
      <c r="H19" s="9">
        <f t="shared" ref="H19:U19" si="44">H228+H239+H311+H343+H329</f>
        <v>0</v>
      </c>
      <c r="I19" s="9">
        <f t="shared" si="44"/>
        <v>0</v>
      </c>
      <c r="J19" s="9">
        <f t="shared" si="44"/>
        <v>0</v>
      </c>
      <c r="K19" s="9">
        <f t="shared" si="44"/>
        <v>0</v>
      </c>
      <c r="L19" s="9">
        <f t="shared" si="44"/>
        <v>0</v>
      </c>
      <c r="M19" s="9">
        <f t="shared" si="44"/>
        <v>0</v>
      </c>
      <c r="N19" s="9">
        <f t="shared" si="44"/>
        <v>0</v>
      </c>
      <c r="O19" s="9">
        <f t="shared" si="44"/>
        <v>0</v>
      </c>
      <c r="P19" s="9">
        <f t="shared" si="44"/>
        <v>0</v>
      </c>
      <c r="Q19" s="9">
        <f t="shared" si="44"/>
        <v>0</v>
      </c>
      <c r="R19" s="9">
        <f t="shared" si="44"/>
        <v>0</v>
      </c>
      <c r="S19" s="9">
        <f t="shared" si="44"/>
        <v>0</v>
      </c>
      <c r="T19" s="9">
        <f t="shared" si="44"/>
        <v>0</v>
      </c>
      <c r="U19" s="9">
        <f t="shared" si="44"/>
        <v>0</v>
      </c>
      <c r="V19" s="9">
        <f t="shared" si="42"/>
        <v>0</v>
      </c>
      <c r="W19" s="9">
        <f t="shared" si="42"/>
        <v>0</v>
      </c>
      <c r="X19" s="9">
        <f t="shared" si="42"/>
        <v>0</v>
      </c>
      <c r="Y19" s="9">
        <f t="shared" si="42"/>
        <v>0</v>
      </c>
      <c r="Z19" s="9">
        <f t="shared" si="42"/>
        <v>0</v>
      </c>
      <c r="AA19" s="9"/>
      <c r="AB19" s="9"/>
      <c r="AC19" s="9"/>
      <c r="AD19" s="66">
        <f t="shared" ref="AD19:AW19" si="45">AD239+AD311+AD343+AD329</f>
        <v>0</v>
      </c>
      <c r="AE19" s="9">
        <f t="shared" si="45"/>
        <v>0</v>
      </c>
      <c r="AF19" s="9">
        <f t="shared" si="45"/>
        <v>0</v>
      </c>
      <c r="AG19" s="9">
        <f t="shared" si="45"/>
        <v>0</v>
      </c>
      <c r="AH19" s="9">
        <f t="shared" si="45"/>
        <v>0</v>
      </c>
      <c r="AI19" s="9">
        <f t="shared" si="45"/>
        <v>0</v>
      </c>
      <c r="AJ19" s="9">
        <f t="shared" si="45"/>
        <v>0</v>
      </c>
      <c r="AK19" s="9">
        <f t="shared" si="45"/>
        <v>0</v>
      </c>
      <c r="AL19" s="9">
        <f t="shared" si="45"/>
        <v>0</v>
      </c>
      <c r="AM19" s="9">
        <f t="shared" si="45"/>
        <v>0</v>
      </c>
      <c r="AN19" s="9">
        <f t="shared" si="45"/>
        <v>0</v>
      </c>
      <c r="AO19" s="66">
        <f t="shared" si="45"/>
        <v>0</v>
      </c>
      <c r="AP19" s="66">
        <f t="shared" si="45"/>
        <v>0</v>
      </c>
      <c r="AQ19" s="66">
        <f t="shared" si="45"/>
        <v>0</v>
      </c>
      <c r="AR19" s="9">
        <f t="shared" si="45"/>
        <v>0</v>
      </c>
      <c r="AS19" s="9">
        <f t="shared" si="45"/>
        <v>0</v>
      </c>
      <c r="AT19" s="9">
        <f t="shared" si="45"/>
        <v>0</v>
      </c>
      <c r="AU19" s="9">
        <f t="shared" si="45"/>
        <v>0</v>
      </c>
      <c r="AV19" s="9">
        <f t="shared" si="45"/>
        <v>0</v>
      </c>
      <c r="AW19" s="9">
        <f t="shared" si="45"/>
        <v>0</v>
      </c>
      <c r="AX19" s="10"/>
      <c r="AY19" s="23">
        <v>0</v>
      </c>
      <c r="AZ19" s="23">
        <f t="shared" si="7"/>
        <v>0</v>
      </c>
    </row>
    <row r="20" spans="1:52" s="23" customFormat="1">
      <c r="A20" s="10"/>
      <c r="B20" s="10"/>
      <c r="C20" s="6"/>
      <c r="D20" s="6" t="s">
        <v>21</v>
      </c>
      <c r="E20" s="7">
        <v>42028903</v>
      </c>
      <c r="F20" s="8" t="s">
        <v>46</v>
      </c>
      <c r="G20" s="10"/>
      <c r="H20" s="9">
        <f t="shared" ref="H20:U20" si="46">H229+H240+H312+H344+H330</f>
        <v>0</v>
      </c>
      <c r="I20" s="9">
        <f t="shared" si="46"/>
        <v>719000</v>
      </c>
      <c r="J20" s="9">
        <f t="shared" si="46"/>
        <v>0</v>
      </c>
      <c r="K20" s="9">
        <f t="shared" si="46"/>
        <v>0</v>
      </c>
      <c r="L20" s="9">
        <f t="shared" si="46"/>
        <v>0</v>
      </c>
      <c r="M20" s="9">
        <f t="shared" si="46"/>
        <v>719000</v>
      </c>
      <c r="N20" s="9">
        <f t="shared" si="46"/>
        <v>0</v>
      </c>
      <c r="O20" s="9">
        <f t="shared" si="46"/>
        <v>0</v>
      </c>
      <c r="P20" s="9">
        <f t="shared" si="46"/>
        <v>322999.99999999994</v>
      </c>
      <c r="Q20" s="9">
        <f t="shared" si="46"/>
        <v>479000.00000000012</v>
      </c>
      <c r="R20" s="9">
        <f t="shared" si="46"/>
        <v>1696000.0000000005</v>
      </c>
      <c r="S20" s="9">
        <f t="shared" si="46"/>
        <v>1324000</v>
      </c>
      <c r="T20" s="9">
        <f t="shared" si="46"/>
        <v>3822000.0000000005</v>
      </c>
      <c r="U20" s="9">
        <f t="shared" si="46"/>
        <v>282667.70999999996</v>
      </c>
      <c r="V20" s="9">
        <f t="shared" si="42"/>
        <v>282667.70999999996</v>
      </c>
      <c r="W20" s="9">
        <f t="shared" si="42"/>
        <v>343000</v>
      </c>
      <c r="X20" s="9">
        <f t="shared" si="42"/>
        <v>762000</v>
      </c>
      <c r="Y20" s="9">
        <f t="shared" si="42"/>
        <v>374000</v>
      </c>
      <c r="Z20" s="9">
        <f t="shared" si="42"/>
        <v>236000</v>
      </c>
      <c r="AA20" s="9"/>
      <c r="AB20" s="9"/>
      <c r="AC20" s="9"/>
      <c r="AD20" s="66">
        <f t="shared" ref="AD20:AW20" si="47">AD240+AD312+AD344+AD330</f>
        <v>1715000</v>
      </c>
      <c r="AE20" s="9">
        <f t="shared" si="47"/>
        <v>693932.12</v>
      </c>
      <c r="AF20" s="9">
        <f t="shared" si="47"/>
        <v>976599.83000000007</v>
      </c>
      <c r="AG20" s="9">
        <f t="shared" si="47"/>
        <v>1328000</v>
      </c>
      <c r="AH20" s="9">
        <f t="shared" si="47"/>
        <v>0</v>
      </c>
      <c r="AI20" s="9">
        <f t="shared" si="47"/>
        <v>6000</v>
      </c>
      <c r="AJ20" s="9">
        <f t="shared" si="47"/>
        <v>0</v>
      </c>
      <c r="AK20" s="9">
        <f t="shared" si="47"/>
        <v>0</v>
      </c>
      <c r="AL20" s="9">
        <f t="shared" si="47"/>
        <v>0</v>
      </c>
      <c r="AM20" s="9">
        <f t="shared" si="47"/>
        <v>0</v>
      </c>
      <c r="AN20" s="9">
        <f t="shared" si="47"/>
        <v>0</v>
      </c>
      <c r="AO20" s="66">
        <f t="shared" si="47"/>
        <v>1334000</v>
      </c>
      <c r="AP20" s="66">
        <f t="shared" si="47"/>
        <v>0</v>
      </c>
      <c r="AQ20" s="66">
        <f t="shared" si="47"/>
        <v>1334000</v>
      </c>
      <c r="AR20" s="9">
        <f t="shared" si="47"/>
        <v>222.59</v>
      </c>
      <c r="AS20" s="9">
        <f t="shared" si="47"/>
        <v>0</v>
      </c>
      <c r="AT20" s="9">
        <f t="shared" si="47"/>
        <v>0</v>
      </c>
      <c r="AU20" s="9">
        <f t="shared" si="47"/>
        <v>0</v>
      </c>
      <c r="AV20" s="9">
        <f t="shared" si="47"/>
        <v>0</v>
      </c>
      <c r="AW20" s="9">
        <f t="shared" si="47"/>
        <v>2310822.42</v>
      </c>
      <c r="AX20" s="10"/>
      <c r="AY20" s="23">
        <v>14310282.362863865</v>
      </c>
      <c r="AZ20" s="23">
        <f t="shared" si="7"/>
        <v>-11999459.942863865</v>
      </c>
    </row>
    <row r="21" spans="1:52" s="23" customFormat="1" ht="105">
      <c r="A21" s="10"/>
      <c r="B21" s="10"/>
      <c r="C21" s="6"/>
      <c r="D21" s="6" t="s">
        <v>21</v>
      </c>
      <c r="E21" s="7">
        <v>42025102</v>
      </c>
      <c r="F21" s="8" t="s">
        <v>16</v>
      </c>
      <c r="G21" s="10"/>
      <c r="H21" s="9">
        <f t="shared" ref="H21:Z21" si="48">H353</f>
        <v>0</v>
      </c>
      <c r="I21" s="9">
        <f t="shared" si="48"/>
        <v>2980000</v>
      </c>
      <c r="J21" s="9">
        <f t="shared" si="48"/>
        <v>0</v>
      </c>
      <c r="K21" s="9">
        <f t="shared" si="48"/>
        <v>0</v>
      </c>
      <c r="L21" s="9">
        <f t="shared" si="48"/>
        <v>0</v>
      </c>
      <c r="M21" s="9">
        <f t="shared" si="48"/>
        <v>2980000</v>
      </c>
      <c r="N21" s="9">
        <f t="shared" si="48"/>
        <v>1640668.4</v>
      </c>
      <c r="O21" s="9">
        <f t="shared" si="48"/>
        <v>1640668.4</v>
      </c>
      <c r="P21" s="9">
        <f t="shared" si="48"/>
        <v>1672000</v>
      </c>
      <c r="Q21" s="9">
        <f t="shared" si="48"/>
        <v>0</v>
      </c>
      <c r="R21" s="9">
        <f t="shared" si="48"/>
        <v>0</v>
      </c>
      <c r="S21" s="9">
        <f t="shared" si="48"/>
        <v>0</v>
      </c>
      <c r="T21" s="9">
        <f t="shared" si="48"/>
        <v>1672000</v>
      </c>
      <c r="U21" s="9">
        <f t="shared" si="48"/>
        <v>659331.6</v>
      </c>
      <c r="V21" s="9">
        <f t="shared" si="48"/>
        <v>2300000</v>
      </c>
      <c r="W21" s="9">
        <f t="shared" si="48"/>
        <v>680000</v>
      </c>
      <c r="X21" s="9">
        <f t="shared" si="48"/>
        <v>0</v>
      </c>
      <c r="Y21" s="9">
        <f t="shared" si="48"/>
        <v>0</v>
      </c>
      <c r="Z21" s="9">
        <f t="shared" si="48"/>
        <v>0</v>
      </c>
      <c r="AA21" s="9"/>
      <c r="AB21" s="9"/>
      <c r="AC21" s="9"/>
      <c r="AD21" s="66">
        <f>AD353</f>
        <v>680000</v>
      </c>
      <c r="AE21" s="9">
        <f t="shared" ref="AE21:AF21" si="49">AE353</f>
        <v>525507.56000000006</v>
      </c>
      <c r="AF21" s="9">
        <f t="shared" si="49"/>
        <v>2825507.56</v>
      </c>
      <c r="AG21" s="9">
        <f t="shared" ref="AG21:AQ21" si="50">AG353</f>
        <v>0</v>
      </c>
      <c r="AH21" s="9">
        <f t="shared" si="50"/>
        <v>0</v>
      </c>
      <c r="AI21" s="9">
        <f t="shared" si="50"/>
        <v>0</v>
      </c>
      <c r="AJ21" s="9">
        <f t="shared" si="50"/>
        <v>0</v>
      </c>
      <c r="AK21" s="9">
        <f t="shared" si="50"/>
        <v>0</v>
      </c>
      <c r="AL21" s="9">
        <f t="shared" si="50"/>
        <v>0</v>
      </c>
      <c r="AM21" s="9">
        <f t="shared" si="50"/>
        <v>0</v>
      </c>
      <c r="AN21" s="9">
        <f t="shared" si="50"/>
        <v>0</v>
      </c>
      <c r="AO21" s="66">
        <f t="shared" si="50"/>
        <v>0</v>
      </c>
      <c r="AP21" s="66">
        <f t="shared" si="50"/>
        <v>0</v>
      </c>
      <c r="AQ21" s="66">
        <f t="shared" si="50"/>
        <v>0</v>
      </c>
      <c r="AR21" s="9">
        <f t="shared" ref="AR21:AW21" si="51">AR353</f>
        <v>0</v>
      </c>
      <c r="AS21" s="9">
        <f t="shared" si="51"/>
        <v>0</v>
      </c>
      <c r="AT21" s="9">
        <f t="shared" si="51"/>
        <v>0</v>
      </c>
      <c r="AU21" s="9">
        <f t="shared" si="51"/>
        <v>0</v>
      </c>
      <c r="AV21" s="9">
        <f t="shared" ref="AV21" si="52">AV353</f>
        <v>0</v>
      </c>
      <c r="AW21" s="9">
        <f t="shared" si="51"/>
        <v>2825507.56</v>
      </c>
      <c r="AX21" s="10"/>
      <c r="AY21" s="23">
        <v>3312000</v>
      </c>
      <c r="AZ21" s="23">
        <f t="shared" si="7"/>
        <v>-486492.43999999994</v>
      </c>
    </row>
    <row r="22" spans="1:52" s="23" customFormat="1" ht="30">
      <c r="A22" s="10"/>
      <c r="B22" s="10"/>
      <c r="C22" s="6"/>
      <c r="D22" s="6" t="s">
        <v>21</v>
      </c>
      <c r="E22" s="7">
        <v>43024901</v>
      </c>
      <c r="F22" s="8" t="s">
        <v>44</v>
      </c>
      <c r="G22" s="10"/>
      <c r="H22" s="9">
        <f t="shared" ref="H22:Z22" si="53">H257</f>
        <v>0</v>
      </c>
      <c r="I22" s="9">
        <f t="shared" si="53"/>
        <v>0</v>
      </c>
      <c r="J22" s="9">
        <f t="shared" si="53"/>
        <v>0</v>
      </c>
      <c r="K22" s="9">
        <f t="shared" si="53"/>
        <v>0</v>
      </c>
      <c r="L22" s="9">
        <f t="shared" si="53"/>
        <v>0</v>
      </c>
      <c r="M22" s="9">
        <f t="shared" si="53"/>
        <v>0</v>
      </c>
      <c r="N22" s="9">
        <f t="shared" si="53"/>
        <v>0</v>
      </c>
      <c r="O22" s="9">
        <f t="shared" si="53"/>
        <v>0</v>
      </c>
      <c r="P22" s="9">
        <f t="shared" si="53"/>
        <v>0</v>
      </c>
      <c r="Q22" s="9">
        <f t="shared" si="53"/>
        <v>1139000</v>
      </c>
      <c r="R22" s="9">
        <f t="shared" si="53"/>
        <v>0</v>
      </c>
      <c r="S22" s="9">
        <f t="shared" si="53"/>
        <v>1072000</v>
      </c>
      <c r="T22" s="9">
        <f t="shared" si="53"/>
        <v>2211000</v>
      </c>
      <c r="U22" s="9">
        <f t="shared" si="53"/>
        <v>63950</v>
      </c>
      <c r="V22" s="9">
        <f t="shared" si="53"/>
        <v>63950</v>
      </c>
      <c r="W22" s="9">
        <f t="shared" si="53"/>
        <v>131000</v>
      </c>
      <c r="X22" s="9">
        <f t="shared" si="53"/>
        <v>1571000</v>
      </c>
      <c r="Y22" s="9">
        <f t="shared" si="53"/>
        <v>445000</v>
      </c>
      <c r="Z22" s="9">
        <f t="shared" si="53"/>
        <v>0</v>
      </c>
      <c r="AA22" s="9"/>
      <c r="AB22" s="9"/>
      <c r="AC22" s="9"/>
      <c r="AD22" s="66">
        <f>AD257</f>
        <v>2147000</v>
      </c>
      <c r="AE22" s="9">
        <f t="shared" ref="AE22:AF22" si="54">AE257</f>
        <v>1754207.21</v>
      </c>
      <c r="AF22" s="9">
        <f t="shared" si="54"/>
        <v>1818157.21</v>
      </c>
      <c r="AG22" s="9">
        <f t="shared" ref="AG22:AQ22" si="55">AG257</f>
        <v>0</v>
      </c>
      <c r="AH22" s="9">
        <f t="shared" si="55"/>
        <v>0</v>
      </c>
      <c r="AI22" s="9">
        <f t="shared" si="55"/>
        <v>0</v>
      </c>
      <c r="AJ22" s="9">
        <f t="shared" si="55"/>
        <v>0</v>
      </c>
      <c r="AK22" s="9">
        <f t="shared" si="55"/>
        <v>0</v>
      </c>
      <c r="AL22" s="9">
        <f t="shared" si="55"/>
        <v>0</v>
      </c>
      <c r="AM22" s="9">
        <f t="shared" si="55"/>
        <v>0</v>
      </c>
      <c r="AN22" s="9">
        <f t="shared" si="55"/>
        <v>0</v>
      </c>
      <c r="AO22" s="66">
        <f t="shared" si="55"/>
        <v>0</v>
      </c>
      <c r="AP22" s="66">
        <f t="shared" si="55"/>
        <v>0</v>
      </c>
      <c r="AQ22" s="66">
        <f t="shared" si="55"/>
        <v>0</v>
      </c>
      <c r="AR22" s="9">
        <f t="shared" ref="AR22:AW22" si="56">AR257</f>
        <v>0</v>
      </c>
      <c r="AS22" s="9">
        <f t="shared" si="56"/>
        <v>0</v>
      </c>
      <c r="AT22" s="9">
        <f t="shared" si="56"/>
        <v>0</v>
      </c>
      <c r="AU22" s="9">
        <f t="shared" si="56"/>
        <v>0</v>
      </c>
      <c r="AV22" s="9">
        <f t="shared" ref="AV22" si="57">AV257</f>
        <v>0</v>
      </c>
      <c r="AW22" s="9">
        <f t="shared" si="56"/>
        <v>1818157.21</v>
      </c>
      <c r="AX22" s="10"/>
      <c r="AY22" s="23">
        <v>2210061.77</v>
      </c>
      <c r="AZ22" s="23">
        <f t="shared" si="7"/>
        <v>-391904.56000000006</v>
      </c>
    </row>
    <row r="23" spans="1:52" s="23" customFormat="1" ht="30">
      <c r="A23" s="10"/>
      <c r="B23" s="10"/>
      <c r="C23" s="6"/>
      <c r="D23" s="6" t="s">
        <v>21</v>
      </c>
      <c r="E23" s="7">
        <v>43024902</v>
      </c>
      <c r="F23" s="8" t="s">
        <v>45</v>
      </c>
      <c r="G23" s="10"/>
      <c r="H23" s="9">
        <f t="shared" ref="H23:Z23" si="58">H258</f>
        <v>0</v>
      </c>
      <c r="I23" s="9">
        <f t="shared" si="58"/>
        <v>0</v>
      </c>
      <c r="J23" s="9">
        <f t="shared" si="58"/>
        <v>0</v>
      </c>
      <c r="K23" s="9">
        <f t="shared" si="58"/>
        <v>0</v>
      </c>
      <c r="L23" s="9">
        <f t="shared" si="58"/>
        <v>0</v>
      </c>
      <c r="M23" s="9">
        <f t="shared" si="58"/>
        <v>0</v>
      </c>
      <c r="N23" s="9">
        <f t="shared" si="58"/>
        <v>0</v>
      </c>
      <c r="O23" s="9">
        <f t="shared" si="58"/>
        <v>0</v>
      </c>
      <c r="P23" s="9">
        <f t="shared" si="58"/>
        <v>0</v>
      </c>
      <c r="Q23" s="9">
        <f t="shared" si="58"/>
        <v>0</v>
      </c>
      <c r="R23" s="9">
        <f t="shared" si="58"/>
        <v>0</v>
      </c>
      <c r="S23" s="9">
        <f t="shared" si="58"/>
        <v>0</v>
      </c>
      <c r="T23" s="9">
        <f t="shared" si="58"/>
        <v>0</v>
      </c>
      <c r="U23" s="9">
        <f t="shared" si="58"/>
        <v>0</v>
      </c>
      <c r="V23" s="9">
        <f t="shared" si="58"/>
        <v>0</v>
      </c>
      <c r="W23" s="9">
        <f t="shared" si="58"/>
        <v>0</v>
      </c>
      <c r="X23" s="9">
        <f t="shared" si="58"/>
        <v>0</v>
      </c>
      <c r="Y23" s="9">
        <f t="shared" si="58"/>
        <v>0</v>
      </c>
      <c r="Z23" s="9">
        <f t="shared" si="58"/>
        <v>0</v>
      </c>
      <c r="AA23" s="9"/>
      <c r="AB23" s="9"/>
      <c r="AC23" s="9"/>
      <c r="AD23" s="66">
        <f>AD258</f>
        <v>0</v>
      </c>
      <c r="AE23" s="9">
        <f t="shared" ref="AE23:AF23" si="59">AE258</f>
        <v>0</v>
      </c>
      <c r="AF23" s="9">
        <f t="shared" si="59"/>
        <v>0</v>
      </c>
      <c r="AG23" s="9">
        <f t="shared" ref="AG23:AQ23" si="60">AG258</f>
        <v>0</v>
      </c>
      <c r="AH23" s="9">
        <f t="shared" si="60"/>
        <v>0</v>
      </c>
      <c r="AI23" s="9">
        <f t="shared" si="60"/>
        <v>0</v>
      </c>
      <c r="AJ23" s="9">
        <f t="shared" si="60"/>
        <v>0</v>
      </c>
      <c r="AK23" s="9">
        <f t="shared" si="60"/>
        <v>0</v>
      </c>
      <c r="AL23" s="9">
        <f t="shared" si="60"/>
        <v>0</v>
      </c>
      <c r="AM23" s="9">
        <f t="shared" si="60"/>
        <v>0</v>
      </c>
      <c r="AN23" s="9">
        <f t="shared" si="60"/>
        <v>0</v>
      </c>
      <c r="AO23" s="66">
        <f t="shared" si="60"/>
        <v>0</v>
      </c>
      <c r="AP23" s="66">
        <f t="shared" si="60"/>
        <v>0</v>
      </c>
      <c r="AQ23" s="66">
        <f t="shared" si="60"/>
        <v>0</v>
      </c>
      <c r="AR23" s="9">
        <f t="shared" ref="AR23:AW23" si="61">AR258</f>
        <v>0</v>
      </c>
      <c r="AS23" s="9">
        <f t="shared" si="61"/>
        <v>0</v>
      </c>
      <c r="AT23" s="9">
        <f t="shared" si="61"/>
        <v>0</v>
      </c>
      <c r="AU23" s="9">
        <f t="shared" si="61"/>
        <v>0</v>
      </c>
      <c r="AV23" s="9">
        <f t="shared" ref="AV23" si="62">AV258</f>
        <v>0</v>
      </c>
      <c r="AW23" s="9">
        <f t="shared" si="61"/>
        <v>0</v>
      </c>
      <c r="AX23" s="10"/>
      <c r="AY23" s="23">
        <v>0</v>
      </c>
      <c r="AZ23" s="23">
        <f t="shared" si="7"/>
        <v>0</v>
      </c>
    </row>
    <row r="24" spans="1:52" s="23" customFormat="1">
      <c r="A24" s="10"/>
      <c r="B24" s="10"/>
      <c r="C24" s="6"/>
      <c r="D24" s="6" t="s">
        <v>21</v>
      </c>
      <c r="E24" s="7">
        <v>43024903</v>
      </c>
      <c r="F24" s="8" t="s">
        <v>46</v>
      </c>
      <c r="G24" s="10"/>
      <c r="H24" s="9">
        <f t="shared" ref="H24:Z24" si="63">H259</f>
        <v>0</v>
      </c>
      <c r="I24" s="9">
        <f t="shared" si="63"/>
        <v>0</v>
      </c>
      <c r="J24" s="9">
        <f t="shared" si="63"/>
        <v>0</v>
      </c>
      <c r="K24" s="9">
        <f t="shared" si="63"/>
        <v>0</v>
      </c>
      <c r="L24" s="9">
        <f t="shared" si="63"/>
        <v>0</v>
      </c>
      <c r="M24" s="9">
        <f t="shared" si="63"/>
        <v>0</v>
      </c>
      <c r="N24" s="9">
        <f t="shared" si="63"/>
        <v>0</v>
      </c>
      <c r="O24" s="9">
        <f t="shared" si="63"/>
        <v>0</v>
      </c>
      <c r="P24" s="9">
        <f t="shared" si="63"/>
        <v>0</v>
      </c>
      <c r="Q24" s="9">
        <f t="shared" si="63"/>
        <v>217000</v>
      </c>
      <c r="R24" s="9">
        <f t="shared" si="63"/>
        <v>0</v>
      </c>
      <c r="S24" s="9">
        <f t="shared" si="63"/>
        <v>203000</v>
      </c>
      <c r="T24" s="9">
        <f t="shared" si="63"/>
        <v>420000</v>
      </c>
      <c r="U24" s="9">
        <f t="shared" si="63"/>
        <v>12150.5</v>
      </c>
      <c r="V24" s="9">
        <f t="shared" si="63"/>
        <v>12150.5</v>
      </c>
      <c r="W24" s="9">
        <f t="shared" si="63"/>
        <v>25000</v>
      </c>
      <c r="X24" s="9">
        <f t="shared" si="63"/>
        <v>299000</v>
      </c>
      <c r="Y24" s="9">
        <f t="shared" si="63"/>
        <v>84000</v>
      </c>
      <c r="Z24" s="9">
        <f t="shared" si="63"/>
        <v>0</v>
      </c>
      <c r="AA24" s="9"/>
      <c r="AB24" s="9"/>
      <c r="AC24" s="9"/>
      <c r="AD24" s="66">
        <f>AD259</f>
        <v>408000</v>
      </c>
      <c r="AE24" s="9">
        <f t="shared" ref="AE24:AF24" si="64">AE259</f>
        <v>349680.14</v>
      </c>
      <c r="AF24" s="9">
        <f t="shared" si="64"/>
        <v>361830.64</v>
      </c>
      <c r="AG24" s="9">
        <f t="shared" ref="AG24:AQ24" si="65">AG259</f>
        <v>0</v>
      </c>
      <c r="AH24" s="9">
        <f t="shared" si="65"/>
        <v>0</v>
      </c>
      <c r="AI24" s="9">
        <f t="shared" si="65"/>
        <v>0</v>
      </c>
      <c r="AJ24" s="9">
        <f t="shared" si="65"/>
        <v>0</v>
      </c>
      <c r="AK24" s="9">
        <f t="shared" si="65"/>
        <v>0</v>
      </c>
      <c r="AL24" s="9">
        <f t="shared" si="65"/>
        <v>0</v>
      </c>
      <c r="AM24" s="9">
        <f t="shared" si="65"/>
        <v>0</v>
      </c>
      <c r="AN24" s="9">
        <f t="shared" si="65"/>
        <v>0</v>
      </c>
      <c r="AO24" s="66">
        <f t="shared" si="65"/>
        <v>0</v>
      </c>
      <c r="AP24" s="66">
        <f t="shared" si="65"/>
        <v>0</v>
      </c>
      <c r="AQ24" s="66">
        <f t="shared" si="65"/>
        <v>0</v>
      </c>
      <c r="AR24" s="9">
        <f t="shared" ref="AR24:AW24" si="66">AR259</f>
        <v>0</v>
      </c>
      <c r="AS24" s="9">
        <f t="shared" si="66"/>
        <v>0</v>
      </c>
      <c r="AT24" s="9">
        <f t="shared" si="66"/>
        <v>0</v>
      </c>
      <c r="AU24" s="9">
        <f t="shared" si="66"/>
        <v>0</v>
      </c>
      <c r="AV24" s="9">
        <f t="shared" ref="AV24" si="67">AV259</f>
        <v>0</v>
      </c>
      <c r="AW24" s="9">
        <f t="shared" si="66"/>
        <v>361830.64</v>
      </c>
      <c r="AX24" s="10"/>
      <c r="AY24" s="23">
        <v>419911.73629999999</v>
      </c>
      <c r="AZ24" s="23">
        <f t="shared" si="7"/>
        <v>-58081.096299999976</v>
      </c>
    </row>
    <row r="25" spans="1:52" s="23" customFormat="1">
      <c r="A25" s="10"/>
      <c r="B25" s="10"/>
      <c r="C25" s="6"/>
      <c r="D25" s="6" t="s">
        <v>21</v>
      </c>
      <c r="E25" s="7" t="s">
        <v>148</v>
      </c>
      <c r="F25" s="8" t="s">
        <v>147</v>
      </c>
      <c r="G25" s="10"/>
      <c r="H25" s="9">
        <f t="shared" ref="H25:Z25" si="68">H214</f>
        <v>0</v>
      </c>
      <c r="I25" s="9">
        <f t="shared" si="68"/>
        <v>0</v>
      </c>
      <c r="J25" s="9">
        <f t="shared" si="68"/>
        <v>0</v>
      </c>
      <c r="K25" s="9">
        <f t="shared" si="68"/>
        <v>0</v>
      </c>
      <c r="L25" s="9">
        <f t="shared" si="68"/>
        <v>0</v>
      </c>
      <c r="M25" s="9">
        <f t="shared" si="68"/>
        <v>0</v>
      </c>
      <c r="N25" s="9">
        <f t="shared" si="68"/>
        <v>0</v>
      </c>
      <c r="O25" s="9">
        <f t="shared" si="68"/>
        <v>0</v>
      </c>
      <c r="P25" s="9">
        <f t="shared" si="68"/>
        <v>0</v>
      </c>
      <c r="Q25" s="9">
        <f t="shared" si="68"/>
        <v>0</v>
      </c>
      <c r="R25" s="9">
        <f t="shared" si="68"/>
        <v>0</v>
      </c>
      <c r="S25" s="9">
        <f t="shared" si="68"/>
        <v>0</v>
      </c>
      <c r="T25" s="9">
        <f t="shared" si="68"/>
        <v>0</v>
      </c>
      <c r="U25" s="9">
        <f t="shared" si="68"/>
        <v>0</v>
      </c>
      <c r="V25" s="9">
        <f t="shared" si="68"/>
        <v>0</v>
      </c>
      <c r="W25" s="9">
        <f t="shared" si="68"/>
        <v>0</v>
      </c>
      <c r="X25" s="9">
        <f t="shared" si="68"/>
        <v>0</v>
      </c>
      <c r="Y25" s="9">
        <f t="shared" si="68"/>
        <v>0</v>
      </c>
      <c r="Z25" s="9">
        <f t="shared" si="68"/>
        <v>0</v>
      </c>
      <c r="AA25" s="9"/>
      <c r="AB25" s="9"/>
      <c r="AC25" s="9"/>
      <c r="AD25" s="66">
        <f>AD214</f>
        <v>0</v>
      </c>
      <c r="AE25" s="9">
        <f t="shared" ref="AE25:AF25" si="69">AE214</f>
        <v>0</v>
      </c>
      <c r="AF25" s="9">
        <f t="shared" si="69"/>
        <v>0</v>
      </c>
      <c r="AG25" s="9">
        <f t="shared" ref="AG25:AQ25" si="70">AG214</f>
        <v>0</v>
      </c>
      <c r="AH25" s="9">
        <f t="shared" si="70"/>
        <v>0</v>
      </c>
      <c r="AI25" s="9">
        <f t="shared" si="70"/>
        <v>0</v>
      </c>
      <c r="AJ25" s="9">
        <f t="shared" si="70"/>
        <v>0</v>
      </c>
      <c r="AK25" s="9">
        <f t="shared" si="70"/>
        <v>0</v>
      </c>
      <c r="AL25" s="9">
        <f t="shared" si="70"/>
        <v>0</v>
      </c>
      <c r="AM25" s="9">
        <f t="shared" si="70"/>
        <v>0</v>
      </c>
      <c r="AN25" s="9">
        <f t="shared" si="70"/>
        <v>0</v>
      </c>
      <c r="AO25" s="66">
        <f t="shared" si="70"/>
        <v>0</v>
      </c>
      <c r="AP25" s="66">
        <f t="shared" si="70"/>
        <v>0</v>
      </c>
      <c r="AQ25" s="66">
        <f t="shared" si="70"/>
        <v>0</v>
      </c>
      <c r="AR25" s="9">
        <f t="shared" ref="AR25:AW25" si="71">AR214</f>
        <v>0</v>
      </c>
      <c r="AS25" s="9">
        <f t="shared" si="71"/>
        <v>0</v>
      </c>
      <c r="AT25" s="9">
        <f t="shared" si="71"/>
        <v>0</v>
      </c>
      <c r="AU25" s="9">
        <f t="shared" si="71"/>
        <v>0</v>
      </c>
      <c r="AV25" s="9">
        <f t="shared" ref="AV25" si="72">AV214</f>
        <v>0</v>
      </c>
      <c r="AW25" s="9">
        <f t="shared" si="71"/>
        <v>0</v>
      </c>
      <c r="AX25" s="10"/>
    </row>
    <row r="26" spans="1:52" s="23" customFormat="1" ht="30">
      <c r="A26" s="10"/>
      <c r="B26" s="10"/>
      <c r="C26" s="6"/>
      <c r="D26" s="6" t="s">
        <v>21</v>
      </c>
      <c r="E26" s="7">
        <v>45024803</v>
      </c>
      <c r="F26" s="8" t="s">
        <v>205</v>
      </c>
      <c r="G26" s="10"/>
      <c r="H26" s="9">
        <f t="shared" ref="H26:Z26" si="73">H215</f>
        <v>0</v>
      </c>
      <c r="I26" s="9">
        <f t="shared" si="73"/>
        <v>0</v>
      </c>
      <c r="J26" s="9">
        <f t="shared" si="73"/>
        <v>0</v>
      </c>
      <c r="K26" s="9">
        <f t="shared" si="73"/>
        <v>0</v>
      </c>
      <c r="L26" s="9">
        <f t="shared" si="73"/>
        <v>0</v>
      </c>
      <c r="M26" s="9">
        <f t="shared" si="73"/>
        <v>0</v>
      </c>
      <c r="N26" s="9">
        <f t="shared" si="73"/>
        <v>0</v>
      </c>
      <c r="O26" s="9">
        <f t="shared" si="73"/>
        <v>0</v>
      </c>
      <c r="P26" s="9">
        <f t="shared" si="73"/>
        <v>0</v>
      </c>
      <c r="Q26" s="9">
        <f t="shared" si="73"/>
        <v>0</v>
      </c>
      <c r="R26" s="9">
        <f t="shared" si="73"/>
        <v>0</v>
      </c>
      <c r="S26" s="9">
        <f t="shared" si="73"/>
        <v>0</v>
      </c>
      <c r="T26" s="9">
        <f t="shared" si="73"/>
        <v>0</v>
      </c>
      <c r="U26" s="9">
        <f t="shared" si="73"/>
        <v>0</v>
      </c>
      <c r="V26" s="9">
        <f t="shared" si="73"/>
        <v>0</v>
      </c>
      <c r="W26" s="9">
        <f t="shared" si="73"/>
        <v>0</v>
      </c>
      <c r="X26" s="9">
        <f t="shared" si="73"/>
        <v>0</v>
      </c>
      <c r="Y26" s="9">
        <f t="shared" si="73"/>
        <v>20576000</v>
      </c>
      <c r="Z26" s="9">
        <f t="shared" si="73"/>
        <v>0</v>
      </c>
      <c r="AA26" s="9"/>
      <c r="AB26" s="9"/>
      <c r="AC26" s="9"/>
      <c r="AD26" s="66">
        <f>AD215</f>
        <v>20576000</v>
      </c>
      <c r="AE26" s="9">
        <f t="shared" ref="AE26:AF26" si="74">AE215</f>
        <v>0</v>
      </c>
      <c r="AF26" s="9">
        <f t="shared" si="74"/>
        <v>0</v>
      </c>
      <c r="AG26" s="9">
        <f t="shared" ref="AG26:AQ26" si="75">AG215</f>
        <v>0</v>
      </c>
      <c r="AH26" s="9">
        <f t="shared" si="75"/>
        <v>0</v>
      </c>
      <c r="AI26" s="9">
        <f t="shared" si="75"/>
        <v>20575000</v>
      </c>
      <c r="AJ26" s="9">
        <f t="shared" si="75"/>
        <v>0</v>
      </c>
      <c r="AK26" s="9">
        <f t="shared" si="75"/>
        <v>38635000</v>
      </c>
      <c r="AL26" s="9">
        <f t="shared" si="75"/>
        <v>0</v>
      </c>
      <c r="AM26" s="9">
        <f t="shared" si="75"/>
        <v>8435000</v>
      </c>
      <c r="AN26" s="9">
        <f t="shared" si="75"/>
        <v>0</v>
      </c>
      <c r="AO26" s="66">
        <f t="shared" si="75"/>
        <v>67645000</v>
      </c>
      <c r="AP26" s="66">
        <f t="shared" si="75"/>
        <v>0</v>
      </c>
      <c r="AQ26" s="66">
        <f t="shared" si="75"/>
        <v>67645000</v>
      </c>
      <c r="AR26" s="9">
        <f t="shared" ref="AR26:AW26" si="76">AR215</f>
        <v>91480564.730000004</v>
      </c>
      <c r="AS26" s="9">
        <f t="shared" si="76"/>
        <v>22922052.170000002</v>
      </c>
      <c r="AT26" s="9">
        <f t="shared" si="76"/>
        <v>0</v>
      </c>
      <c r="AU26" s="9">
        <f t="shared" si="76"/>
        <v>0</v>
      </c>
      <c r="AV26" s="9">
        <f t="shared" ref="AV26" si="77">AV215</f>
        <v>0</v>
      </c>
      <c r="AW26" s="9">
        <f t="shared" si="76"/>
        <v>182047616.90000004</v>
      </c>
      <c r="AX26" s="10"/>
    </row>
    <row r="27" spans="1:52" s="23" customFormat="1">
      <c r="A27" s="10"/>
      <c r="B27" s="10"/>
      <c r="C27" s="6"/>
      <c r="D27" s="6" t="s">
        <v>21</v>
      </c>
      <c r="E27" s="7" t="s">
        <v>203</v>
      </c>
      <c r="F27" s="8" t="s">
        <v>204</v>
      </c>
      <c r="G27" s="10"/>
      <c r="H27" s="9">
        <f t="shared" ref="H27:Z27" si="78">H157</f>
        <v>0</v>
      </c>
      <c r="I27" s="9">
        <f t="shared" si="78"/>
        <v>0</v>
      </c>
      <c r="J27" s="9">
        <f t="shared" si="78"/>
        <v>0</v>
      </c>
      <c r="K27" s="9">
        <f t="shared" si="78"/>
        <v>0</v>
      </c>
      <c r="L27" s="9">
        <f t="shared" si="78"/>
        <v>0</v>
      </c>
      <c r="M27" s="9">
        <f t="shared" si="78"/>
        <v>0</v>
      </c>
      <c r="N27" s="9">
        <f t="shared" si="78"/>
        <v>0</v>
      </c>
      <c r="O27" s="9">
        <f t="shared" si="78"/>
        <v>0</v>
      </c>
      <c r="P27" s="9">
        <f t="shared" si="78"/>
        <v>0</v>
      </c>
      <c r="Q27" s="9">
        <f t="shared" si="78"/>
        <v>0</v>
      </c>
      <c r="R27" s="9">
        <f t="shared" si="78"/>
        <v>0</v>
      </c>
      <c r="S27" s="9">
        <f t="shared" si="78"/>
        <v>0</v>
      </c>
      <c r="T27" s="9">
        <f t="shared" si="78"/>
        <v>0</v>
      </c>
      <c r="U27" s="9">
        <f t="shared" si="78"/>
        <v>0</v>
      </c>
      <c r="V27" s="9">
        <f t="shared" si="78"/>
        <v>0</v>
      </c>
      <c r="W27" s="9">
        <f t="shared" si="78"/>
        <v>0</v>
      </c>
      <c r="X27" s="9">
        <f t="shared" si="78"/>
        <v>545000.00000000012</v>
      </c>
      <c r="Y27" s="9">
        <f t="shared" si="78"/>
        <v>476000</v>
      </c>
      <c r="Z27" s="9">
        <f t="shared" si="78"/>
        <v>1000000</v>
      </c>
      <c r="AA27" s="9"/>
      <c r="AB27" s="9"/>
      <c r="AC27" s="9"/>
      <c r="AD27" s="66">
        <f>AD157</f>
        <v>2021000</v>
      </c>
      <c r="AE27" s="9">
        <f t="shared" ref="AE27:AF27" si="79">AE157</f>
        <v>0</v>
      </c>
      <c r="AF27" s="9">
        <f t="shared" si="79"/>
        <v>0</v>
      </c>
      <c r="AG27" s="9">
        <f t="shared" ref="AG27:AQ27" si="80">AG157</f>
        <v>3431000</v>
      </c>
      <c r="AH27" s="9">
        <f t="shared" si="80"/>
        <v>0</v>
      </c>
      <c r="AI27" s="9">
        <f t="shared" si="80"/>
        <v>0</v>
      </c>
      <c r="AJ27" s="9">
        <f t="shared" si="80"/>
        <v>0</v>
      </c>
      <c r="AK27" s="9">
        <f t="shared" si="80"/>
        <v>0</v>
      </c>
      <c r="AL27" s="9">
        <f t="shared" si="80"/>
        <v>0</v>
      </c>
      <c r="AM27" s="9">
        <f t="shared" si="80"/>
        <v>0</v>
      </c>
      <c r="AN27" s="9">
        <f t="shared" si="80"/>
        <v>0</v>
      </c>
      <c r="AO27" s="66">
        <f t="shared" si="80"/>
        <v>3431000</v>
      </c>
      <c r="AP27" s="66">
        <f t="shared" si="80"/>
        <v>0</v>
      </c>
      <c r="AQ27" s="66">
        <f t="shared" si="80"/>
        <v>3431000</v>
      </c>
      <c r="AR27" s="9">
        <f t="shared" ref="AR27:AW27" si="81">AR157</f>
        <v>562.28</v>
      </c>
      <c r="AS27" s="9">
        <f t="shared" si="81"/>
        <v>0</v>
      </c>
      <c r="AT27" s="9">
        <f t="shared" si="81"/>
        <v>0</v>
      </c>
      <c r="AU27" s="9">
        <f t="shared" si="81"/>
        <v>0</v>
      </c>
      <c r="AV27" s="9">
        <f t="shared" ref="AV27" si="82">AV157</f>
        <v>0</v>
      </c>
      <c r="AW27" s="9">
        <f t="shared" si="81"/>
        <v>3431562.28</v>
      </c>
      <c r="AX27" s="10"/>
    </row>
    <row r="28" spans="1:52" s="23" customFormat="1">
      <c r="A28" s="10"/>
      <c r="B28" s="10"/>
      <c r="C28" s="6"/>
      <c r="D28" s="6" t="s">
        <v>21</v>
      </c>
      <c r="E28" s="7">
        <v>45025103</v>
      </c>
      <c r="F28" s="8" t="s">
        <v>242</v>
      </c>
      <c r="G28" s="1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>
        <f>V159</f>
        <v>0</v>
      </c>
      <c r="W28" s="9">
        <f t="shared" ref="W28:AW28" si="83">W159</f>
        <v>0</v>
      </c>
      <c r="X28" s="9">
        <f t="shared" si="83"/>
        <v>0</v>
      </c>
      <c r="Y28" s="9">
        <f t="shared" si="83"/>
        <v>0</v>
      </c>
      <c r="Z28" s="9">
        <f t="shared" si="83"/>
        <v>0</v>
      </c>
      <c r="AA28" s="9">
        <f t="shared" si="83"/>
        <v>0</v>
      </c>
      <c r="AB28" s="9">
        <f t="shared" si="83"/>
        <v>0</v>
      </c>
      <c r="AC28" s="9">
        <f t="shared" si="83"/>
        <v>0</v>
      </c>
      <c r="AD28" s="66">
        <f t="shared" si="83"/>
        <v>0</v>
      </c>
      <c r="AE28" s="9">
        <f t="shared" si="83"/>
        <v>316570.96999999997</v>
      </c>
      <c r="AF28" s="9">
        <f t="shared" si="83"/>
        <v>316570.96999999997</v>
      </c>
      <c r="AG28" s="9">
        <f t="shared" ref="AG28:AQ28" si="84">AG159</f>
        <v>0</v>
      </c>
      <c r="AH28" s="9">
        <f t="shared" si="84"/>
        <v>0</v>
      </c>
      <c r="AI28" s="9">
        <f t="shared" si="84"/>
        <v>0</v>
      </c>
      <c r="AJ28" s="9">
        <f t="shared" si="84"/>
        <v>0</v>
      </c>
      <c r="AK28" s="9">
        <f t="shared" si="84"/>
        <v>0</v>
      </c>
      <c r="AL28" s="9">
        <f t="shared" si="84"/>
        <v>0</v>
      </c>
      <c r="AM28" s="9">
        <f t="shared" si="84"/>
        <v>0</v>
      </c>
      <c r="AN28" s="9">
        <f t="shared" si="84"/>
        <v>0</v>
      </c>
      <c r="AO28" s="66">
        <f t="shared" si="84"/>
        <v>0</v>
      </c>
      <c r="AP28" s="66">
        <f t="shared" si="84"/>
        <v>0</v>
      </c>
      <c r="AQ28" s="66">
        <f t="shared" si="84"/>
        <v>0</v>
      </c>
      <c r="AR28" s="9">
        <f t="shared" si="83"/>
        <v>0</v>
      </c>
      <c r="AS28" s="9">
        <f t="shared" si="83"/>
        <v>0</v>
      </c>
      <c r="AT28" s="9">
        <f t="shared" si="83"/>
        <v>0</v>
      </c>
      <c r="AU28" s="9">
        <f t="shared" si="83"/>
        <v>0</v>
      </c>
      <c r="AV28" s="9">
        <f t="shared" ref="AV28" si="85">AV159</f>
        <v>0</v>
      </c>
      <c r="AW28" s="9">
        <f t="shared" si="83"/>
        <v>316570.96999999997</v>
      </c>
      <c r="AX28" s="10"/>
    </row>
    <row r="29" spans="1:52" s="23" customFormat="1">
      <c r="A29" s="10"/>
      <c r="B29" s="10"/>
      <c r="C29" s="6"/>
      <c r="D29" s="6" t="s">
        <v>21</v>
      </c>
      <c r="E29" s="7">
        <v>45024901</v>
      </c>
      <c r="F29" s="8" t="s">
        <v>225</v>
      </c>
      <c r="G29" s="1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53">
        <f t="shared" ref="V29:Z29" si="86">V199</f>
        <v>0</v>
      </c>
      <c r="W29" s="9">
        <f t="shared" si="86"/>
        <v>0</v>
      </c>
      <c r="X29" s="9">
        <f t="shared" si="86"/>
        <v>0</v>
      </c>
      <c r="Y29" s="9">
        <f t="shared" si="86"/>
        <v>1284000</v>
      </c>
      <c r="Z29" s="9">
        <f t="shared" si="86"/>
        <v>0</v>
      </c>
      <c r="AA29" s="9"/>
      <c r="AB29" s="9"/>
      <c r="AC29" s="9"/>
      <c r="AD29" s="66">
        <f>AD199</f>
        <v>1284000</v>
      </c>
      <c r="AE29" s="9">
        <f t="shared" ref="AE29:AF29" si="87">AE199</f>
        <v>0</v>
      </c>
      <c r="AF29" s="9">
        <f t="shared" si="87"/>
        <v>0</v>
      </c>
      <c r="AG29" s="9">
        <f t="shared" ref="AG29:AQ29" si="88">AG199</f>
        <v>33000</v>
      </c>
      <c r="AH29" s="9">
        <f t="shared" si="88"/>
        <v>0</v>
      </c>
      <c r="AI29" s="9">
        <f t="shared" si="88"/>
        <v>164000</v>
      </c>
      <c r="AJ29" s="9">
        <f t="shared" si="88"/>
        <v>0</v>
      </c>
      <c r="AK29" s="9">
        <f t="shared" si="88"/>
        <v>164000</v>
      </c>
      <c r="AL29" s="9">
        <f t="shared" si="88"/>
        <v>0</v>
      </c>
      <c r="AM29" s="9">
        <f t="shared" si="88"/>
        <v>164000</v>
      </c>
      <c r="AN29" s="9">
        <f t="shared" si="88"/>
        <v>0</v>
      </c>
      <c r="AO29" s="66">
        <f t="shared" si="88"/>
        <v>525000</v>
      </c>
      <c r="AP29" s="66">
        <f t="shared" si="88"/>
        <v>0</v>
      </c>
      <c r="AQ29" s="66">
        <f t="shared" si="88"/>
        <v>525000</v>
      </c>
      <c r="AR29" s="9">
        <f t="shared" ref="AR29:AW29" si="89">AR199</f>
        <v>539899</v>
      </c>
      <c r="AS29" s="9">
        <f t="shared" si="89"/>
        <v>218566</v>
      </c>
      <c r="AT29" s="9">
        <f t="shared" si="89"/>
        <v>0</v>
      </c>
      <c r="AU29" s="9">
        <f t="shared" si="89"/>
        <v>0</v>
      </c>
      <c r="AV29" s="9">
        <f t="shared" ref="AV29" si="90">AV199</f>
        <v>0</v>
      </c>
      <c r="AW29" s="9">
        <f t="shared" si="89"/>
        <v>1283465</v>
      </c>
      <c r="AX29" s="10"/>
    </row>
    <row r="30" spans="1:52" s="23" customFormat="1" ht="135">
      <c r="A30" s="10"/>
      <c r="B30" s="10"/>
      <c r="C30" s="6"/>
      <c r="D30" s="6" t="s">
        <v>21</v>
      </c>
      <c r="E30" s="7">
        <v>42029303</v>
      </c>
      <c r="F30" s="8" t="s">
        <v>146</v>
      </c>
      <c r="G30" s="10"/>
      <c r="H30" s="9">
        <f t="shared" ref="H30:U30" si="91">H216+H158</f>
        <v>0</v>
      </c>
      <c r="I30" s="9">
        <f t="shared" si="91"/>
        <v>0</v>
      </c>
      <c r="J30" s="9">
        <f t="shared" si="91"/>
        <v>0</v>
      </c>
      <c r="K30" s="9">
        <f t="shared" si="91"/>
        <v>0</v>
      </c>
      <c r="L30" s="9">
        <f t="shared" si="91"/>
        <v>0</v>
      </c>
      <c r="M30" s="9">
        <f t="shared" si="91"/>
        <v>0</v>
      </c>
      <c r="N30" s="9">
        <f t="shared" si="91"/>
        <v>0</v>
      </c>
      <c r="O30" s="9">
        <f t="shared" si="91"/>
        <v>0</v>
      </c>
      <c r="P30" s="9">
        <f t="shared" si="91"/>
        <v>0</v>
      </c>
      <c r="Q30" s="9">
        <f t="shared" si="91"/>
        <v>0</v>
      </c>
      <c r="R30" s="9">
        <f t="shared" si="91"/>
        <v>0</v>
      </c>
      <c r="S30" s="9">
        <f t="shared" si="91"/>
        <v>0</v>
      </c>
      <c r="T30" s="9">
        <f t="shared" si="91"/>
        <v>0</v>
      </c>
      <c r="U30" s="9">
        <f t="shared" si="91"/>
        <v>0</v>
      </c>
      <c r="V30" s="9">
        <f t="shared" ref="V30:Z30" si="92">V216+V158+V200</f>
        <v>0</v>
      </c>
      <c r="W30" s="9">
        <f t="shared" si="92"/>
        <v>0</v>
      </c>
      <c r="X30" s="9">
        <f t="shared" si="92"/>
        <v>182000</v>
      </c>
      <c r="Y30" s="9">
        <f t="shared" si="92"/>
        <v>355000</v>
      </c>
      <c r="Z30" s="9">
        <f t="shared" si="92"/>
        <v>333000</v>
      </c>
      <c r="AA30" s="9"/>
      <c r="AB30" s="9"/>
      <c r="AC30" s="9"/>
      <c r="AD30" s="66">
        <f>AD216+AD158+AD200</f>
        <v>870000</v>
      </c>
      <c r="AE30" s="9">
        <f t="shared" ref="AE30:AF30" si="93">AE216+AE158+AE200</f>
        <v>0</v>
      </c>
      <c r="AF30" s="9">
        <f t="shared" si="93"/>
        <v>0</v>
      </c>
      <c r="AG30" s="9">
        <f t="shared" ref="AG30:AQ30" si="94">AG216+AG158+AG200</f>
        <v>1254000</v>
      </c>
      <c r="AH30" s="9">
        <f t="shared" si="94"/>
        <v>0</v>
      </c>
      <c r="AI30" s="9">
        <f t="shared" si="94"/>
        <v>25000</v>
      </c>
      <c r="AJ30" s="9">
        <f t="shared" si="94"/>
        <v>0</v>
      </c>
      <c r="AK30" s="9">
        <f t="shared" si="94"/>
        <v>1463000</v>
      </c>
      <c r="AL30" s="9">
        <f t="shared" si="94"/>
        <v>0</v>
      </c>
      <c r="AM30" s="9">
        <f t="shared" si="94"/>
        <v>7305000</v>
      </c>
      <c r="AN30" s="9">
        <f t="shared" si="94"/>
        <v>0</v>
      </c>
      <c r="AO30" s="66">
        <f t="shared" si="94"/>
        <v>10047000</v>
      </c>
      <c r="AP30" s="66">
        <f t="shared" si="94"/>
        <v>0</v>
      </c>
      <c r="AQ30" s="66">
        <f t="shared" si="94"/>
        <v>10047000</v>
      </c>
      <c r="AR30" s="9">
        <f t="shared" ref="AR30:AW30" si="95">AR216+AR158+AR200</f>
        <v>10787206.020000001</v>
      </c>
      <c r="AS30" s="9">
        <f t="shared" si="95"/>
        <v>167512.65</v>
      </c>
      <c r="AT30" s="9">
        <f t="shared" si="95"/>
        <v>0</v>
      </c>
      <c r="AU30" s="9">
        <f t="shared" si="95"/>
        <v>0</v>
      </c>
      <c r="AV30" s="9">
        <f t="shared" ref="AV30" si="96">AV216+AV158+AV200</f>
        <v>0</v>
      </c>
      <c r="AW30" s="9">
        <f t="shared" si="95"/>
        <v>21001718.669999998</v>
      </c>
      <c r="AX30" s="10"/>
    </row>
    <row r="31" spans="1:52" s="23" customFormat="1">
      <c r="A31" s="10"/>
      <c r="B31" s="10"/>
      <c r="C31" s="6"/>
      <c r="D31" s="6" t="s">
        <v>21</v>
      </c>
      <c r="E31" s="7"/>
      <c r="F31" s="8" t="s">
        <v>238</v>
      </c>
      <c r="G31" s="1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>
        <f t="shared" ref="V31:AD31" si="97">V217+V277+V331</f>
        <v>0</v>
      </c>
      <c r="W31" s="9">
        <f t="shared" si="97"/>
        <v>0</v>
      </c>
      <c r="X31" s="9">
        <f t="shared" si="97"/>
        <v>0</v>
      </c>
      <c r="Y31" s="9">
        <f t="shared" si="97"/>
        <v>0</v>
      </c>
      <c r="Z31" s="9">
        <f t="shared" si="97"/>
        <v>0</v>
      </c>
      <c r="AA31" s="9">
        <f t="shared" si="97"/>
        <v>6901000</v>
      </c>
      <c r="AB31" s="9">
        <f t="shared" si="97"/>
        <v>0</v>
      </c>
      <c r="AC31" s="9">
        <f t="shared" si="97"/>
        <v>20358000</v>
      </c>
      <c r="AD31" s="66">
        <f t="shared" si="97"/>
        <v>20358000</v>
      </c>
      <c r="AE31" s="9">
        <f>AE217+AE277+AE331+AE230</f>
        <v>0</v>
      </c>
      <c r="AF31" s="9">
        <f t="shared" ref="AF31:AW31" si="98">AF217+AF277+AF331+AF230</f>
        <v>0</v>
      </c>
      <c r="AG31" s="9">
        <f t="shared" si="98"/>
        <v>0</v>
      </c>
      <c r="AH31" s="9">
        <f t="shared" si="98"/>
        <v>13288000</v>
      </c>
      <c r="AI31" s="9">
        <f t="shared" si="98"/>
        <v>0</v>
      </c>
      <c r="AJ31" s="9">
        <f t="shared" si="98"/>
        <v>11328000</v>
      </c>
      <c r="AK31" s="9">
        <f t="shared" si="98"/>
        <v>0</v>
      </c>
      <c r="AL31" s="9">
        <f t="shared" si="98"/>
        <v>13918000</v>
      </c>
      <c r="AM31" s="9">
        <f t="shared" si="98"/>
        <v>0</v>
      </c>
      <c r="AN31" s="9">
        <f t="shared" si="98"/>
        <v>8466000</v>
      </c>
      <c r="AO31" s="66">
        <f t="shared" si="98"/>
        <v>0</v>
      </c>
      <c r="AP31" s="66">
        <f t="shared" si="98"/>
        <v>47000000</v>
      </c>
      <c r="AQ31" s="66">
        <f t="shared" si="98"/>
        <v>47000000</v>
      </c>
      <c r="AR31" s="9">
        <f t="shared" si="98"/>
        <v>0</v>
      </c>
      <c r="AS31" s="9">
        <f t="shared" si="98"/>
        <v>0</v>
      </c>
      <c r="AT31" s="9">
        <f t="shared" si="98"/>
        <v>0</v>
      </c>
      <c r="AU31" s="9">
        <f t="shared" si="98"/>
        <v>0</v>
      </c>
      <c r="AV31" s="9">
        <f t="shared" si="98"/>
        <v>0</v>
      </c>
      <c r="AW31" s="9">
        <f t="shared" si="98"/>
        <v>47000000</v>
      </c>
      <c r="AX31" s="10"/>
    </row>
    <row r="32" spans="1:52" s="23" customFormat="1">
      <c r="A32" s="10"/>
      <c r="B32" s="10"/>
      <c r="C32" s="6"/>
      <c r="D32" s="6" t="s">
        <v>21</v>
      </c>
      <c r="E32" s="7"/>
      <c r="F32" s="7" t="s">
        <v>19</v>
      </c>
      <c r="G32" s="10"/>
      <c r="H32" s="9">
        <f t="shared" ref="H32:U32" si="99">H49+H57+H69+H81+H92+H100+H102+H104+H106+H108+H110+H115+H127+H139+H147+H150+H154+H231+H244+H260+H269+H278+H286+H295+H316+H332+H345+H354+H196+H304+H170+H208+H218+H160</f>
        <v>31612185.863800041</v>
      </c>
      <c r="I32" s="9">
        <f t="shared" si="99"/>
        <v>15598999.999999996</v>
      </c>
      <c r="J32" s="9">
        <f t="shared" si="99"/>
        <v>-11239999.949999999</v>
      </c>
      <c r="K32" s="9">
        <f t="shared" si="99"/>
        <v>1372000</v>
      </c>
      <c r="L32" s="9">
        <f t="shared" si="99"/>
        <v>-2322000.333333333</v>
      </c>
      <c r="M32" s="9">
        <f t="shared" si="99"/>
        <v>3408999.7166666621</v>
      </c>
      <c r="N32" s="9">
        <f t="shared" si="99"/>
        <v>4093931.2199999974</v>
      </c>
      <c r="O32" s="9">
        <f t="shared" si="99"/>
        <v>35706117.083800063</v>
      </c>
      <c r="P32" s="9">
        <f t="shared" si="99"/>
        <v>17345000</v>
      </c>
      <c r="Q32" s="9">
        <f t="shared" si="99"/>
        <v>-4677000</v>
      </c>
      <c r="R32" s="9">
        <f t="shared" si="99"/>
        <v>1964000</v>
      </c>
      <c r="S32" s="9">
        <f t="shared" si="99"/>
        <v>1864000</v>
      </c>
      <c r="T32" s="9">
        <f t="shared" si="99"/>
        <v>16496000</v>
      </c>
      <c r="U32" s="9">
        <f t="shared" si="99"/>
        <v>-2316346.7999999984</v>
      </c>
      <c r="V32" s="9">
        <f t="shared" ref="V32:AE32" si="100">V49+V57+V69+V81+V92+V100+V102+V104+V106+V108+V110+V115+V127+V139+V147+V150+V154+V231+V244+V260+V269+V278+V286+V295+V316+V332+V345+V354+V196+V304+V170+V208+V218+V160+V201+V184+V177</f>
        <v>33389770.283800073</v>
      </c>
      <c r="W32" s="9">
        <f t="shared" si="100"/>
        <v>8930000</v>
      </c>
      <c r="X32" s="9">
        <f t="shared" si="100"/>
        <v>4850000</v>
      </c>
      <c r="Y32" s="9">
        <f t="shared" si="100"/>
        <v>-15172000</v>
      </c>
      <c r="Z32" s="9">
        <f t="shared" si="100"/>
        <v>18655000</v>
      </c>
      <c r="AA32" s="9">
        <f t="shared" si="100"/>
        <v>13457000</v>
      </c>
      <c r="AB32" s="9">
        <f t="shared" si="100"/>
        <v>-2145000</v>
      </c>
      <c r="AC32" s="9">
        <f t="shared" si="100"/>
        <v>0</v>
      </c>
      <c r="AD32" s="66">
        <f t="shared" si="100"/>
        <v>17263000</v>
      </c>
      <c r="AE32" s="9">
        <f t="shared" si="100"/>
        <v>8275472.7000000002</v>
      </c>
      <c r="AF32" s="9">
        <f t="shared" ref="AF32:AV32" si="101">AF49+AF57+AF69+AF81+AF92+AF100+AF102+AF104+AF106+AF108+AF110+AF115+AF127+AF139+AF147+AF150+AF154+AF231+AF244+AF260+AF269+AF278+AF286+AF295+AF316+AF332+AF345+AF354+AF196+AF304+AF170+AF208+AF218+AF160+AF201+AF184+AF177+AF191+AF210+AF212</f>
        <v>133004244.63380006</v>
      </c>
      <c r="AG32" s="9">
        <f t="shared" si="101"/>
        <v>4089000</v>
      </c>
      <c r="AH32" s="9">
        <f t="shared" si="101"/>
        <v>0</v>
      </c>
      <c r="AI32" s="9">
        <f t="shared" si="101"/>
        <v>2936999.9999999991</v>
      </c>
      <c r="AJ32" s="9">
        <f t="shared" si="101"/>
        <v>0</v>
      </c>
      <c r="AK32" s="9">
        <f t="shared" si="101"/>
        <v>5294000</v>
      </c>
      <c r="AL32" s="9">
        <f t="shared" si="101"/>
        <v>0</v>
      </c>
      <c r="AM32" s="9">
        <f t="shared" si="101"/>
        <v>784000</v>
      </c>
      <c r="AN32" s="9">
        <f t="shared" si="101"/>
        <v>0</v>
      </c>
      <c r="AO32" s="66">
        <f t="shared" si="101"/>
        <v>13104000</v>
      </c>
      <c r="AP32" s="66">
        <f t="shared" si="101"/>
        <v>0</v>
      </c>
      <c r="AQ32" s="66">
        <f t="shared" si="101"/>
        <v>13104000</v>
      </c>
      <c r="AR32" s="9">
        <f t="shared" si="101"/>
        <v>-3969141.4421999976</v>
      </c>
      <c r="AS32" s="9">
        <f t="shared" si="101"/>
        <v>4772564.7799999993</v>
      </c>
      <c r="AT32" s="9">
        <f t="shared" si="101"/>
        <v>2763505.89</v>
      </c>
      <c r="AU32" s="9">
        <f t="shared" si="101"/>
        <v>140244.89000000001</v>
      </c>
      <c r="AV32" s="9">
        <f t="shared" si="101"/>
        <v>13244.89</v>
      </c>
      <c r="AW32" s="9">
        <f t="shared" ref="AW32" si="102">AW49+AW57+AW69+AW81+AW92+AW100+AW102+AW104+AW106+AW108+AW110+AW115+AW127+AW139+AW147+AW150+AW154+AW231+AW244+AW260+AW269+AW278+AW286+AW295+AW316+AW332+AW345+AW354+AW196+AW304+AW170+AW208+AW218+AW160+AW201+AW184+AW177+AW191+AW210+AW212</f>
        <v>149828663.64160004</v>
      </c>
      <c r="AX32" s="10"/>
      <c r="AY32" s="23">
        <v>82947432.281480089</v>
      </c>
      <c r="AZ32" s="23">
        <f t="shared" si="7"/>
        <v>66881231.360119954</v>
      </c>
    </row>
    <row r="33" spans="1:52" s="50" customFormat="1">
      <c r="A33" s="14"/>
      <c r="B33" s="14"/>
      <c r="C33" s="24"/>
      <c r="D33" s="24" t="s">
        <v>22</v>
      </c>
      <c r="E33" s="25"/>
      <c r="F33" s="25" t="s">
        <v>29</v>
      </c>
      <c r="G33" s="14"/>
      <c r="H33" s="26">
        <f t="shared" ref="H33:U33" si="103">H53+H64+H76+H88+H99+H101+H103+H105+H107+H109+H111+H123+H134+H146+H148+H151+H155+H236+H252+H265+H274+H282+H291+H300+H324+H340+H350+H355+H197+H309+H174+H209+H225+H167</f>
        <v>145922425.42000002</v>
      </c>
      <c r="I33" s="26">
        <f t="shared" si="103"/>
        <v>30534000</v>
      </c>
      <c r="J33" s="26">
        <f t="shared" si="103"/>
        <v>3156000.05</v>
      </c>
      <c r="K33" s="26">
        <f t="shared" si="103"/>
        <v>2980000</v>
      </c>
      <c r="L33" s="26">
        <f t="shared" si="103"/>
        <v>955999.66666666663</v>
      </c>
      <c r="M33" s="26">
        <f t="shared" si="103"/>
        <v>37625999.716666669</v>
      </c>
      <c r="N33" s="26">
        <f t="shared" si="103"/>
        <v>28973315.939999998</v>
      </c>
      <c r="O33" s="26">
        <f t="shared" si="103"/>
        <v>174895741.36000004</v>
      </c>
      <c r="P33" s="26">
        <f t="shared" si="103"/>
        <v>23616000</v>
      </c>
      <c r="Q33" s="26">
        <f t="shared" si="103"/>
        <v>8464000</v>
      </c>
      <c r="R33" s="26">
        <f t="shared" si="103"/>
        <v>12591000.000000004</v>
      </c>
      <c r="S33" s="26">
        <f t="shared" si="103"/>
        <v>47334000</v>
      </c>
      <c r="T33" s="26">
        <f t="shared" si="103"/>
        <v>92005000</v>
      </c>
      <c r="U33" s="26">
        <f t="shared" si="103"/>
        <v>17538306.570000004</v>
      </c>
      <c r="V33" s="26">
        <f t="shared" ref="V33:AD33" si="104">V53+V64+V76+V88+V99+V101+V103+V105+V107+V109+V111+V123+V134+V146+V148+V151+V155+V236+V252+V265+V274+V282+V291+V300+V324+V340+V350+V355+V197+V309+V174+V209+V225+V167+V207+V181+V188</f>
        <v>192434047.9300001</v>
      </c>
      <c r="W33" s="26">
        <f t="shared" si="104"/>
        <v>44264000</v>
      </c>
      <c r="X33" s="26">
        <f t="shared" si="104"/>
        <v>18823000</v>
      </c>
      <c r="Y33" s="26">
        <f t="shared" si="104"/>
        <v>25487000</v>
      </c>
      <c r="Z33" s="26">
        <f t="shared" si="104"/>
        <v>26432000</v>
      </c>
      <c r="AA33" s="26">
        <f t="shared" si="104"/>
        <v>20358000</v>
      </c>
      <c r="AB33" s="26">
        <f t="shared" si="104"/>
        <v>29393000</v>
      </c>
      <c r="AC33" s="26">
        <f t="shared" si="104"/>
        <v>20358000</v>
      </c>
      <c r="AD33" s="67">
        <f t="shared" si="104"/>
        <v>135364000</v>
      </c>
      <c r="AE33" s="26">
        <f t="shared" ref="AE33" si="105">AE53+AE64+AE76+AE88+AE99+AE101+AE103+AE105+AE107+AE109+AE111+AE123+AE134+AE146+AE148+AE153+AE155+AE236+AE252+AE265+AE274+AE282+AE291+AE300+AE324+AE340+AE350+AE355+AE197+AE309+AE174+AE209+AE225+AE167+AE207+AE181+AE188+AE211+AE213</f>
        <v>152228002.90999997</v>
      </c>
      <c r="AF33" s="26">
        <f>AF53+AF64+AF76+AF88+AF99+AF101+AF103+AF105+AF107+AF109+AF111+AF123+AF134+AF146+AF148+AF153+AF155+AF236+AF252+AF265+AF274+AF282+AF291+AF300+AF324+AF340+AF350+AF355+AF197+AF309+AF174+AF209+AF225+AF167+AF207+AF181+AF188+AF211+AF213+AF195</f>
        <v>344770463.73000002</v>
      </c>
      <c r="AG33" s="26">
        <f t="shared" ref="AG33:AW33" si="106">AG53+AG64+AG76+AG88+AG99+AG101+AG103+AG105+AG107+AG109+AG111+AG123+AG134+AG146+AG148+AG153+AG155+AG236+AG252+AG265+AG274+AG282+AG291+AG300+AG324+AG340+AG350+AG355+AG197+AG309+AG174+AG209+AG225+AG167+AG207+AG181+AG188+AG211+AG213+AG195</f>
        <v>27918000</v>
      </c>
      <c r="AH33" s="26">
        <f t="shared" si="106"/>
        <v>13288000</v>
      </c>
      <c r="AI33" s="26">
        <f t="shared" si="106"/>
        <v>33884000</v>
      </c>
      <c r="AJ33" s="26">
        <f t="shared" si="106"/>
        <v>11328000</v>
      </c>
      <c r="AK33" s="26">
        <f t="shared" si="106"/>
        <v>46058000</v>
      </c>
      <c r="AL33" s="26">
        <f t="shared" si="106"/>
        <v>13918000</v>
      </c>
      <c r="AM33" s="26">
        <f>AM53+AM64+AM76+AM88+AM99+AM101+AM103+AM105+AM107+AM109+AM111+AM123+AM134+AM146+AM148+AM153+AM155+AM236+AM252+AM265+AM274+AM282+AM291+AM300+AM324+AM340+AM350+AM355+AM197+AM309+AM174+AM209+AM225+AM167+AM207+AM181+AM188+AM211+AM213+AM195</f>
        <v>16688000</v>
      </c>
      <c r="AN33" s="26">
        <f t="shared" si="106"/>
        <v>8466000</v>
      </c>
      <c r="AO33" s="67">
        <f t="shared" si="106"/>
        <v>124548000</v>
      </c>
      <c r="AP33" s="67">
        <f t="shared" si="106"/>
        <v>47000000</v>
      </c>
      <c r="AQ33" s="67">
        <f t="shared" si="106"/>
        <v>171548000</v>
      </c>
      <c r="AR33" s="26">
        <f t="shared" si="106"/>
        <v>98834088.747800022</v>
      </c>
      <c r="AS33" s="26">
        <f t="shared" si="106"/>
        <v>28080695.600000001</v>
      </c>
      <c r="AT33" s="26">
        <f t="shared" si="106"/>
        <v>2763505.89</v>
      </c>
      <c r="AU33" s="26">
        <f t="shared" si="106"/>
        <v>140244.89000000001</v>
      </c>
      <c r="AV33" s="26">
        <f t="shared" si="106"/>
        <v>13244.89</v>
      </c>
      <c r="AW33" s="26">
        <f t="shared" si="106"/>
        <v>646150243.74779999</v>
      </c>
      <c r="AX33" s="14"/>
      <c r="AY33" s="50">
        <v>405062142.78718001</v>
      </c>
      <c r="AZ33" s="50">
        <f t="shared" si="7"/>
        <v>241088100.96061999</v>
      </c>
    </row>
    <row r="34" spans="1:52" s="52" customFormat="1">
      <c r="A34" s="27"/>
      <c r="B34" s="27"/>
      <c r="C34" s="51"/>
      <c r="D34" s="51" t="s">
        <v>22</v>
      </c>
      <c r="E34" s="28"/>
      <c r="F34" s="29" t="s">
        <v>40</v>
      </c>
      <c r="G34" s="27"/>
      <c r="H34" s="30">
        <f t="shared" ref="H34:U34" si="107">H65+H77+H135+H341</f>
        <v>0</v>
      </c>
      <c r="I34" s="30">
        <f t="shared" si="107"/>
        <v>58000</v>
      </c>
      <c r="J34" s="30">
        <f t="shared" si="107"/>
        <v>0</v>
      </c>
      <c r="K34" s="30">
        <f t="shared" si="107"/>
        <v>0</v>
      </c>
      <c r="L34" s="30">
        <f t="shared" si="107"/>
        <v>0</v>
      </c>
      <c r="M34" s="30">
        <f t="shared" si="107"/>
        <v>58000</v>
      </c>
      <c r="N34" s="30">
        <f t="shared" si="107"/>
        <v>31702.79</v>
      </c>
      <c r="O34" s="30">
        <f t="shared" si="107"/>
        <v>0</v>
      </c>
      <c r="P34" s="30">
        <f t="shared" si="107"/>
        <v>55000</v>
      </c>
      <c r="Q34" s="30">
        <f t="shared" si="107"/>
        <v>1000</v>
      </c>
      <c r="R34" s="30">
        <f t="shared" si="107"/>
        <v>10000</v>
      </c>
      <c r="S34" s="30">
        <f t="shared" si="107"/>
        <v>0</v>
      </c>
      <c r="T34" s="30">
        <f t="shared" si="107"/>
        <v>66000</v>
      </c>
      <c r="U34" s="30">
        <f t="shared" si="107"/>
        <v>27681.42</v>
      </c>
      <c r="V34" s="30">
        <f t="shared" ref="V34:AD34" si="108">V65+V77+V135+V341+V237++V253+V275</f>
        <v>1310.19</v>
      </c>
      <c r="W34" s="30">
        <f t="shared" si="108"/>
        <v>22000</v>
      </c>
      <c r="X34" s="30">
        <f t="shared" si="108"/>
        <v>0</v>
      </c>
      <c r="Y34" s="30">
        <f t="shared" si="108"/>
        <v>0</v>
      </c>
      <c r="Z34" s="30">
        <f t="shared" si="108"/>
        <v>0</v>
      </c>
      <c r="AA34" s="30">
        <f t="shared" si="108"/>
        <v>0</v>
      </c>
      <c r="AB34" s="30">
        <f t="shared" si="108"/>
        <v>0</v>
      </c>
      <c r="AC34" s="30">
        <f t="shared" si="108"/>
        <v>0</v>
      </c>
      <c r="AD34" s="68">
        <f t="shared" si="108"/>
        <v>22000</v>
      </c>
      <c r="AE34" s="30">
        <f>AE65+AE77+AE135+AE341+AE237+AE253+AE275</f>
        <v>320</v>
      </c>
      <c r="AF34" s="30">
        <f>AF65+AF77+AF135+AF341+AF237+AF253+AF275</f>
        <v>320</v>
      </c>
      <c r="AG34" s="30">
        <f>AG65+AG77+AG135+AG341+AG237+AG253+AG275+AG351</f>
        <v>200000</v>
      </c>
      <c r="AH34" s="30">
        <f t="shared" ref="AH34:AW34" si="109">AH65+AH77+AH135+AH341+AH237+AH253+AH275+AH351</f>
        <v>0</v>
      </c>
      <c r="AI34" s="30">
        <f t="shared" si="109"/>
        <v>0</v>
      </c>
      <c r="AJ34" s="30">
        <f t="shared" si="109"/>
        <v>0</v>
      </c>
      <c r="AK34" s="30">
        <f t="shared" si="109"/>
        <v>0</v>
      </c>
      <c r="AL34" s="30">
        <f t="shared" si="109"/>
        <v>0</v>
      </c>
      <c r="AM34" s="30">
        <f t="shared" si="109"/>
        <v>0</v>
      </c>
      <c r="AN34" s="30">
        <f t="shared" si="109"/>
        <v>0</v>
      </c>
      <c r="AO34" s="68">
        <f t="shared" si="109"/>
        <v>200000</v>
      </c>
      <c r="AP34" s="68">
        <f t="shared" si="109"/>
        <v>0</v>
      </c>
      <c r="AQ34" s="68">
        <f t="shared" si="109"/>
        <v>200000</v>
      </c>
      <c r="AR34" s="30">
        <f t="shared" si="109"/>
        <v>0</v>
      </c>
      <c r="AS34" s="30">
        <f t="shared" si="109"/>
        <v>0</v>
      </c>
      <c r="AT34" s="30">
        <f t="shared" si="109"/>
        <v>0</v>
      </c>
      <c r="AU34" s="30">
        <f t="shared" si="109"/>
        <v>0</v>
      </c>
      <c r="AV34" s="30">
        <f t="shared" si="109"/>
        <v>0</v>
      </c>
      <c r="AW34" s="30">
        <f t="shared" si="109"/>
        <v>200320</v>
      </c>
      <c r="AX34" s="27"/>
      <c r="AY34" s="52">
        <v>0</v>
      </c>
      <c r="AZ34" s="52">
        <f t="shared" si="7"/>
        <v>200320</v>
      </c>
    </row>
    <row r="35" spans="1:52" s="35" customFormat="1">
      <c r="A35" s="31"/>
      <c r="B35" s="31"/>
      <c r="C35" s="32"/>
      <c r="D35" s="32"/>
      <c r="E35" s="33"/>
      <c r="F35" s="33"/>
      <c r="G35" s="31"/>
      <c r="H35" s="34"/>
      <c r="I35" s="34"/>
      <c r="J35" s="34"/>
      <c r="K35" s="34"/>
      <c r="L35" s="34"/>
      <c r="M35" s="34">
        <f t="shared" ref="M35:M341" si="110">SUM(I35:L35)</f>
        <v>0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69"/>
      <c r="AE35" s="34">
        <f>SUM(AE5:AE32)-AE33</f>
        <v>-91230588.399999976</v>
      </c>
      <c r="AF35" s="34">
        <f t="shared" ref="AF35:AW35" si="111">SUM(AF5:AF32)-AF33</f>
        <v>0.36000001430511475</v>
      </c>
      <c r="AG35" s="34">
        <f t="shared" si="111"/>
        <v>0</v>
      </c>
      <c r="AH35" s="34">
        <f t="shared" si="111"/>
        <v>0</v>
      </c>
      <c r="AI35" s="34">
        <f t="shared" si="111"/>
        <v>0</v>
      </c>
      <c r="AJ35" s="34">
        <f t="shared" si="111"/>
        <v>0</v>
      </c>
      <c r="AK35" s="34">
        <f t="shared" si="111"/>
        <v>0</v>
      </c>
      <c r="AL35" s="34">
        <f t="shared" si="111"/>
        <v>0</v>
      </c>
      <c r="AM35" s="34">
        <f t="shared" si="111"/>
        <v>0</v>
      </c>
      <c r="AN35" s="34">
        <f t="shared" si="111"/>
        <v>0</v>
      </c>
      <c r="AO35" s="69">
        <f t="shared" si="111"/>
        <v>0</v>
      </c>
      <c r="AP35" s="69">
        <f t="shared" si="111"/>
        <v>0</v>
      </c>
      <c r="AQ35" s="69">
        <f t="shared" si="111"/>
        <v>0</v>
      </c>
      <c r="AR35" s="34">
        <f t="shared" si="111"/>
        <v>0</v>
      </c>
      <c r="AS35" s="34">
        <f t="shared" si="111"/>
        <v>0</v>
      </c>
      <c r="AT35" s="34">
        <f t="shared" si="111"/>
        <v>0</v>
      </c>
      <c r="AU35" s="34">
        <f t="shared" si="111"/>
        <v>0</v>
      </c>
      <c r="AV35" s="34">
        <f t="shared" si="111"/>
        <v>0</v>
      </c>
      <c r="AW35" s="34">
        <f t="shared" si="111"/>
        <v>0.3600001335144043</v>
      </c>
      <c r="AX35" s="31"/>
      <c r="AY35" s="35">
        <v>0</v>
      </c>
      <c r="AZ35" s="35">
        <f t="shared" si="7"/>
        <v>0.3600001335144043</v>
      </c>
    </row>
    <row r="36" spans="1:52" s="23" customFormat="1">
      <c r="A36" s="152"/>
      <c r="B36" s="134"/>
      <c r="C36" s="150"/>
      <c r="D36" s="7"/>
      <c r="E36" s="36"/>
      <c r="F36" s="8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66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66"/>
      <c r="AP36" s="66"/>
      <c r="AQ36" s="66"/>
      <c r="AR36" s="9"/>
      <c r="AS36" s="9"/>
      <c r="AT36" s="9"/>
      <c r="AU36" s="9"/>
      <c r="AV36" s="9"/>
      <c r="AW36" s="9"/>
      <c r="AX36" s="10"/>
      <c r="AZ36" s="23">
        <f t="shared" si="7"/>
        <v>0</v>
      </c>
    </row>
    <row r="37" spans="1:52" s="23" customFormat="1">
      <c r="A37" s="153"/>
      <c r="B37" s="154"/>
      <c r="C37" s="155"/>
      <c r="D37" s="7"/>
      <c r="E37" s="36"/>
      <c r="F37" s="8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66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66"/>
      <c r="AP37" s="66"/>
      <c r="AQ37" s="66"/>
      <c r="AR37" s="9"/>
      <c r="AS37" s="9"/>
      <c r="AT37" s="9"/>
      <c r="AU37" s="9"/>
      <c r="AV37" s="9"/>
      <c r="AW37" s="9"/>
      <c r="AX37" s="10"/>
      <c r="AZ37" s="23">
        <f t="shared" si="7"/>
        <v>0</v>
      </c>
    </row>
    <row r="38" spans="1:52" s="23" customFormat="1">
      <c r="A38" s="153"/>
      <c r="B38" s="154"/>
      <c r="C38" s="155"/>
      <c r="D38" s="7"/>
      <c r="E38" s="36"/>
      <c r="F38" s="8"/>
      <c r="G38" s="7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66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66"/>
      <c r="AP38" s="66"/>
      <c r="AQ38" s="66"/>
      <c r="AR38" s="9"/>
      <c r="AS38" s="9"/>
      <c r="AT38" s="9"/>
      <c r="AU38" s="9"/>
      <c r="AV38" s="9"/>
      <c r="AW38" s="9"/>
      <c r="AX38" s="10"/>
      <c r="AZ38" s="23">
        <f t="shared" si="7"/>
        <v>0</v>
      </c>
    </row>
    <row r="39" spans="1:52" s="23" customFormat="1">
      <c r="A39" s="153"/>
      <c r="B39" s="154"/>
      <c r="C39" s="155"/>
      <c r="D39" s="7"/>
      <c r="E39" s="36"/>
      <c r="F39" s="8"/>
      <c r="G39" s="7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66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66"/>
      <c r="AP39" s="66"/>
      <c r="AQ39" s="66"/>
      <c r="AR39" s="9"/>
      <c r="AS39" s="9"/>
      <c r="AT39" s="9"/>
      <c r="AU39" s="9"/>
      <c r="AV39" s="9"/>
      <c r="AW39" s="9"/>
      <c r="AX39" s="10"/>
      <c r="AZ39" s="23">
        <f t="shared" si="7"/>
        <v>0</v>
      </c>
    </row>
    <row r="40" spans="1:52" s="23" customFormat="1">
      <c r="A40" s="153"/>
      <c r="B40" s="154"/>
      <c r="C40" s="155"/>
      <c r="D40" s="7"/>
      <c r="E40" s="36"/>
      <c r="F40" s="7"/>
      <c r="G40" s="7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66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66"/>
      <c r="AP40" s="66"/>
      <c r="AQ40" s="66"/>
      <c r="AR40" s="9"/>
      <c r="AS40" s="9"/>
      <c r="AT40" s="9"/>
      <c r="AU40" s="9"/>
      <c r="AV40" s="9"/>
      <c r="AW40" s="9"/>
      <c r="AX40" s="10"/>
      <c r="AZ40" s="23">
        <f t="shared" si="7"/>
        <v>0</v>
      </c>
    </row>
    <row r="41" spans="1:52" s="5" customFormat="1" ht="14.45" customHeight="1">
      <c r="A41" s="153"/>
      <c r="B41" s="154"/>
      <c r="C41" s="155"/>
      <c r="D41" s="7"/>
      <c r="E41" s="7"/>
      <c r="F41" s="8"/>
      <c r="G41" s="7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66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66"/>
      <c r="AP41" s="66"/>
      <c r="AQ41" s="66"/>
      <c r="AR41" s="9"/>
      <c r="AS41" s="9"/>
      <c r="AT41" s="9"/>
      <c r="AU41" s="9"/>
      <c r="AV41" s="9"/>
      <c r="AW41" s="9"/>
      <c r="AX41" s="10"/>
      <c r="AZ41" s="5">
        <f t="shared" si="7"/>
        <v>0</v>
      </c>
    </row>
    <row r="42" spans="1:52" s="4" customFormat="1">
      <c r="A42" s="153"/>
      <c r="B42" s="154"/>
      <c r="C42" s="155"/>
      <c r="D42" s="25"/>
      <c r="E42" s="25"/>
      <c r="F42" s="37"/>
      <c r="G42" s="25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67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67"/>
      <c r="AP42" s="67"/>
      <c r="AQ42" s="67"/>
      <c r="AR42" s="26"/>
      <c r="AS42" s="26"/>
      <c r="AT42" s="26"/>
      <c r="AU42" s="26"/>
      <c r="AV42" s="26"/>
      <c r="AW42" s="26"/>
      <c r="AX42" s="14"/>
      <c r="AZ42" s="4">
        <f t="shared" si="7"/>
        <v>0</v>
      </c>
    </row>
    <row r="43" spans="1:52" s="4" customFormat="1">
      <c r="A43" s="153"/>
      <c r="B43" s="154"/>
      <c r="C43" s="155"/>
      <c r="D43" s="25"/>
      <c r="E43" s="25"/>
      <c r="F43" s="37"/>
      <c r="G43" s="25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67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67"/>
      <c r="AP43" s="67"/>
      <c r="AQ43" s="67"/>
      <c r="AR43" s="26"/>
      <c r="AS43" s="26"/>
      <c r="AT43" s="26"/>
      <c r="AU43" s="26"/>
      <c r="AV43" s="26"/>
      <c r="AW43" s="26"/>
      <c r="AX43" s="14"/>
      <c r="AZ43" s="4">
        <f t="shared" si="7"/>
        <v>0</v>
      </c>
    </row>
    <row r="44" spans="1:52" s="4" customFormat="1">
      <c r="A44" s="153"/>
      <c r="B44" s="154"/>
      <c r="C44" s="155"/>
      <c r="D44" s="25"/>
      <c r="E44" s="25"/>
      <c r="F44" s="37"/>
      <c r="G44" s="25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67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67"/>
      <c r="AP44" s="67"/>
      <c r="AQ44" s="67"/>
      <c r="AR44" s="26"/>
      <c r="AS44" s="26"/>
      <c r="AT44" s="26"/>
      <c r="AU44" s="26"/>
      <c r="AV44" s="26"/>
      <c r="AW44" s="26"/>
      <c r="AX44" s="14"/>
      <c r="AZ44" s="4">
        <f t="shared" si="7"/>
        <v>0</v>
      </c>
    </row>
    <row r="45" spans="1:52" s="4" customFormat="1">
      <c r="A45" s="153"/>
      <c r="B45" s="154"/>
      <c r="C45" s="155"/>
      <c r="D45" s="25"/>
      <c r="E45" s="14"/>
      <c r="F45" s="37"/>
      <c r="G45" s="25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67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67"/>
      <c r="AP45" s="67"/>
      <c r="AQ45" s="67"/>
      <c r="AR45" s="26"/>
      <c r="AS45" s="26"/>
      <c r="AT45" s="26"/>
      <c r="AU45" s="26"/>
      <c r="AV45" s="26"/>
      <c r="AW45" s="26"/>
      <c r="AX45" s="14"/>
      <c r="AZ45" s="4">
        <f t="shared" si="7"/>
        <v>0</v>
      </c>
    </row>
    <row r="46" spans="1:52" s="35" customFormat="1">
      <c r="A46" s="38" t="s">
        <v>111</v>
      </c>
      <c r="B46" s="38"/>
      <c r="C46" s="32"/>
      <c r="D46" s="33"/>
      <c r="E46" s="33"/>
      <c r="F46" s="33"/>
      <c r="G46" s="31"/>
      <c r="H46" s="34"/>
      <c r="I46" s="34"/>
      <c r="J46" s="34"/>
      <c r="K46" s="34"/>
      <c r="L46" s="34"/>
      <c r="M46" s="39">
        <f t="shared" si="110"/>
        <v>0</v>
      </c>
      <c r="N46" s="39"/>
      <c r="O46" s="39"/>
      <c r="P46" s="39"/>
      <c r="Q46" s="39"/>
      <c r="R46" s="39"/>
      <c r="S46" s="39"/>
      <c r="T46" s="34"/>
      <c r="U46" s="39"/>
      <c r="V46" s="39"/>
      <c r="W46" s="39"/>
      <c r="X46" s="39"/>
      <c r="Y46" s="39"/>
      <c r="Z46" s="39"/>
      <c r="AA46" s="39"/>
      <c r="AB46" s="39"/>
      <c r="AC46" s="39"/>
      <c r="AD46" s="69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69"/>
      <c r="AP46" s="69"/>
      <c r="AQ46" s="69"/>
      <c r="AR46" s="34"/>
      <c r="AS46" s="34"/>
      <c r="AT46" s="34"/>
      <c r="AU46" s="34"/>
      <c r="AV46" s="34"/>
      <c r="AW46" s="39"/>
      <c r="AX46" s="31"/>
      <c r="AZ46" s="35">
        <f t="shared" si="7"/>
        <v>0</v>
      </c>
    </row>
    <row r="47" spans="1:52" s="5" customFormat="1">
      <c r="A47" s="135"/>
      <c r="B47" s="138"/>
      <c r="C47" s="129"/>
      <c r="D47" s="7"/>
      <c r="E47" s="7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66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66"/>
      <c r="AP47" s="66"/>
      <c r="AQ47" s="66"/>
      <c r="AR47" s="9"/>
      <c r="AS47" s="9"/>
      <c r="AT47" s="9"/>
      <c r="AU47" s="9"/>
      <c r="AV47" s="9"/>
      <c r="AW47" s="9"/>
      <c r="AX47" s="10"/>
    </row>
    <row r="48" spans="1:52" s="23" customFormat="1">
      <c r="A48" s="136"/>
      <c r="B48" s="139"/>
      <c r="C48" s="156"/>
      <c r="D48" s="36"/>
      <c r="E48" s="7"/>
      <c r="F48" s="8"/>
      <c r="G48" s="8"/>
      <c r="H48" s="40"/>
      <c r="I48" s="40"/>
      <c r="J48" s="40"/>
      <c r="K48" s="40"/>
      <c r="L48" s="40"/>
      <c r="M48" s="9"/>
      <c r="N48" s="9"/>
      <c r="O48" s="9"/>
      <c r="P48" s="9"/>
      <c r="Q48" s="9"/>
      <c r="R48" s="9"/>
      <c r="S48" s="9"/>
      <c r="T48" s="40"/>
      <c r="U48" s="9"/>
      <c r="V48" s="9"/>
      <c r="W48" s="9"/>
      <c r="X48" s="9"/>
      <c r="Y48" s="9"/>
      <c r="Z48" s="9"/>
      <c r="AA48" s="9"/>
      <c r="AB48" s="9"/>
      <c r="AC48" s="9"/>
      <c r="AD48" s="7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70"/>
      <c r="AP48" s="70"/>
      <c r="AQ48" s="70"/>
      <c r="AR48" s="40"/>
      <c r="AS48" s="40"/>
      <c r="AT48" s="40"/>
      <c r="AU48" s="40"/>
      <c r="AV48" s="40"/>
      <c r="AW48" s="9"/>
      <c r="AX48" s="10"/>
    </row>
    <row r="49" spans="1:53" s="5" customFormat="1" ht="15" customHeight="1">
      <c r="A49" s="136"/>
      <c r="B49" s="139"/>
      <c r="C49" s="156"/>
      <c r="D49" s="7"/>
      <c r="E49" s="7"/>
      <c r="F49" s="7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66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66"/>
      <c r="AP49" s="66"/>
      <c r="AQ49" s="66"/>
      <c r="AR49" s="9"/>
      <c r="AS49" s="9"/>
      <c r="AT49" s="9"/>
      <c r="AU49" s="9"/>
      <c r="AV49" s="9"/>
      <c r="AW49" s="9"/>
      <c r="AX49" s="10"/>
    </row>
    <row r="50" spans="1:53" s="5" customFormat="1">
      <c r="A50" s="136"/>
      <c r="B50" s="139"/>
      <c r="C50" s="156"/>
      <c r="D50" s="7"/>
      <c r="E50" s="7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66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66"/>
      <c r="AP50" s="66"/>
      <c r="AQ50" s="66"/>
      <c r="AR50" s="9"/>
      <c r="AS50" s="9"/>
      <c r="AT50" s="9"/>
      <c r="AU50" s="9"/>
      <c r="AV50" s="9"/>
      <c r="AW50" s="9"/>
      <c r="AX50" s="10"/>
    </row>
    <row r="51" spans="1:53" s="4" customFormat="1">
      <c r="A51" s="136"/>
      <c r="B51" s="139"/>
      <c r="C51" s="156"/>
      <c r="D51" s="25"/>
      <c r="E51" s="25"/>
      <c r="F51" s="37"/>
      <c r="G51" s="37"/>
      <c r="H51" s="14"/>
      <c r="I51" s="14"/>
      <c r="J51" s="14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67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67"/>
      <c r="AP51" s="67"/>
      <c r="AQ51" s="67"/>
      <c r="AR51" s="26"/>
      <c r="AS51" s="26"/>
      <c r="AT51" s="26"/>
      <c r="AU51" s="26"/>
      <c r="AV51" s="26"/>
      <c r="AW51" s="26"/>
      <c r="AX51" s="14"/>
      <c r="BA51" s="41"/>
    </row>
    <row r="52" spans="1:53" s="4" customFormat="1">
      <c r="A52" s="136"/>
      <c r="B52" s="139"/>
      <c r="C52" s="156"/>
      <c r="D52" s="25"/>
      <c r="E52" s="25"/>
      <c r="F52" s="37"/>
      <c r="G52" s="37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67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67"/>
      <c r="AP52" s="67"/>
      <c r="AQ52" s="67"/>
      <c r="AR52" s="26"/>
      <c r="AS52" s="26"/>
      <c r="AT52" s="26"/>
      <c r="AU52" s="26"/>
      <c r="AV52" s="26"/>
      <c r="AW52" s="26"/>
      <c r="AX52" s="14"/>
      <c r="BA52" s="41"/>
    </row>
    <row r="53" spans="1:53" s="4" customFormat="1">
      <c r="A53" s="137"/>
      <c r="B53" s="140"/>
      <c r="C53" s="157"/>
      <c r="D53" s="25"/>
      <c r="E53" s="25"/>
      <c r="F53" s="37"/>
      <c r="G53" s="37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67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67"/>
      <c r="AP53" s="67"/>
      <c r="AQ53" s="67"/>
      <c r="AR53" s="26"/>
      <c r="AS53" s="26"/>
      <c r="AT53" s="26"/>
      <c r="AU53" s="26"/>
      <c r="AV53" s="26"/>
      <c r="AW53" s="26"/>
      <c r="AX53" s="14"/>
      <c r="BA53" s="41"/>
    </row>
    <row r="54" spans="1:53" s="23" customFormat="1">
      <c r="A54" s="132" t="s">
        <v>222</v>
      </c>
      <c r="B54" s="134" t="s">
        <v>23</v>
      </c>
      <c r="C54" s="150">
        <v>67</v>
      </c>
      <c r="D54" s="7" t="s">
        <v>21</v>
      </c>
      <c r="E54" s="7">
        <v>480201</v>
      </c>
      <c r="F54" s="8" t="s">
        <v>35</v>
      </c>
      <c r="G54" s="7">
        <v>116264</v>
      </c>
      <c r="H54" s="9">
        <v>1160761.1000000001</v>
      </c>
      <c r="I54" s="9">
        <f>1772575.01456559-575.014565585879</f>
        <v>1772000.0000000042</v>
      </c>
      <c r="J54" s="9">
        <f>616395.37533+575.014565585879-970.389895585831</f>
        <v>616000</v>
      </c>
      <c r="K54" s="9">
        <f>800808.53531+970.389895585831-778.925205585779</f>
        <v>801000</v>
      </c>
      <c r="L54" s="9">
        <f>1099359.94+778.925205585779-138.865205585723</f>
        <v>1100000</v>
      </c>
      <c r="M54" s="9">
        <f t="shared" ref="M54:M56" si="112">SUM(I54:L54)</f>
        <v>4289000.0000000037</v>
      </c>
      <c r="N54" s="9">
        <f>877677.26+953033.47+5100</f>
        <v>1835810.73</v>
      </c>
      <c r="O54" s="9">
        <f t="shared" ref="O54:O56" si="113">H54+N54</f>
        <v>2996571.83</v>
      </c>
      <c r="P54" s="9">
        <f>2285959.6+40.4</f>
        <v>2286000</v>
      </c>
      <c r="Q54" s="9">
        <f>109281.49-40.4-241.09</f>
        <v>109000.00000000001</v>
      </c>
      <c r="R54" s="9"/>
      <c r="S54" s="9"/>
      <c r="T54" s="9">
        <f t="shared" ref="T54:T56" si="114">SUM(P54:S54)</f>
        <v>2395000</v>
      </c>
      <c r="U54" s="9">
        <f>1139377.31+1146582.3+109281.49</f>
        <v>2395241.1000000006</v>
      </c>
      <c r="V54" s="9">
        <f t="shared" ref="V54:V56" si="115">O54+U54</f>
        <v>5391812.9300000006</v>
      </c>
      <c r="W54" s="9"/>
      <c r="X54" s="9"/>
      <c r="Y54" s="9"/>
      <c r="Z54" s="9"/>
      <c r="AA54" s="9"/>
      <c r="AB54" s="9"/>
      <c r="AC54" s="9"/>
      <c r="AD54" s="66">
        <f t="shared" ref="AD54:AD109" si="116">SUM(W54:Z54)</f>
        <v>0</v>
      </c>
      <c r="AE54" s="9"/>
      <c r="AF54" s="9">
        <f>V54+AE54</f>
        <v>5391812.9300000006</v>
      </c>
      <c r="AG54" s="9"/>
      <c r="AH54" s="9"/>
      <c r="AI54" s="9"/>
      <c r="AJ54" s="9"/>
      <c r="AK54" s="9"/>
      <c r="AL54" s="9"/>
      <c r="AM54" s="9"/>
      <c r="AN54" s="9"/>
      <c r="AO54" s="66">
        <f>AG54+AI54+AK54+AM54</f>
        <v>0</v>
      </c>
      <c r="AP54" s="66">
        <f>AH54+AJ54+AL54+AN54</f>
        <v>0</v>
      </c>
      <c r="AQ54" s="66">
        <f>AO54+AP54</f>
        <v>0</v>
      </c>
      <c r="AR54" s="9"/>
      <c r="AS54" s="9"/>
      <c r="AT54" s="9"/>
      <c r="AU54" s="9"/>
      <c r="AV54" s="9"/>
      <c r="AW54" s="9">
        <f>AF54+AQ54+AR54+AS54+AT54+AU54+AV54</f>
        <v>5391812.9300000006</v>
      </c>
      <c r="AX54" s="10" t="s">
        <v>32</v>
      </c>
      <c r="AZ54" s="23">
        <f t="shared" si="7"/>
        <v>5391812.9300000006</v>
      </c>
    </row>
    <row r="55" spans="1:53" s="23" customFormat="1">
      <c r="A55" s="160"/>
      <c r="B55" s="154"/>
      <c r="C55" s="155"/>
      <c r="D55" s="7" t="s">
        <v>21</v>
      </c>
      <c r="E55" s="7" t="s">
        <v>106</v>
      </c>
      <c r="F55" s="8" t="s">
        <v>36</v>
      </c>
      <c r="G55" s="7">
        <v>116264</v>
      </c>
      <c r="H55" s="9"/>
      <c r="I55" s="9"/>
      <c r="J55" s="9"/>
      <c r="K55" s="9"/>
      <c r="L55" s="9"/>
      <c r="M55" s="9">
        <f t="shared" si="112"/>
        <v>0</v>
      </c>
      <c r="N55" s="9"/>
      <c r="O55" s="9">
        <f t="shared" si="113"/>
        <v>0</v>
      </c>
      <c r="P55" s="9"/>
      <c r="Q55" s="9"/>
      <c r="R55" s="9"/>
      <c r="S55" s="9"/>
      <c r="T55" s="9">
        <f t="shared" si="114"/>
        <v>0</v>
      </c>
      <c r="U55" s="9"/>
      <c r="V55" s="9">
        <f t="shared" si="115"/>
        <v>0</v>
      </c>
      <c r="W55" s="9"/>
      <c r="X55" s="9"/>
      <c r="Y55" s="9"/>
      <c r="Z55" s="9"/>
      <c r="AA55" s="9"/>
      <c r="AB55" s="9"/>
      <c r="AC55" s="9"/>
      <c r="AD55" s="66">
        <f t="shared" si="116"/>
        <v>0</v>
      </c>
      <c r="AE55" s="9"/>
      <c r="AF55" s="9">
        <f t="shared" ref="AF55:AF56" si="117">V55+AE55</f>
        <v>0</v>
      </c>
      <c r="AG55" s="9"/>
      <c r="AH55" s="9"/>
      <c r="AI55" s="9"/>
      <c r="AJ55" s="9"/>
      <c r="AK55" s="9"/>
      <c r="AL55" s="9"/>
      <c r="AM55" s="9"/>
      <c r="AN55" s="9"/>
      <c r="AO55" s="66">
        <f t="shared" ref="AO55:AO118" si="118">AG55+AI55+AK55+AM55</f>
        <v>0</v>
      </c>
      <c r="AP55" s="66">
        <f t="shared" ref="AP55:AP118" si="119">AH55+AJ55+AL55+AN55</f>
        <v>0</v>
      </c>
      <c r="AQ55" s="66">
        <f t="shared" ref="AQ55:AQ118" si="120">AO55+AP55</f>
        <v>0</v>
      </c>
      <c r="AR55" s="9"/>
      <c r="AS55" s="9"/>
      <c r="AT55" s="9"/>
      <c r="AU55" s="9"/>
      <c r="AV55" s="9"/>
      <c r="AW55" s="9">
        <f t="shared" ref="AW55:AW118" si="121">AF55+AQ55+AR55+AS55+AT55+AU55+AV55</f>
        <v>0</v>
      </c>
      <c r="AX55" s="10" t="s">
        <v>32</v>
      </c>
      <c r="AZ55" s="23">
        <f t="shared" si="7"/>
        <v>0</v>
      </c>
    </row>
    <row r="56" spans="1:53" s="23" customFormat="1" ht="180">
      <c r="A56" s="160"/>
      <c r="B56" s="154"/>
      <c r="C56" s="155"/>
      <c r="D56" s="7" t="s">
        <v>21</v>
      </c>
      <c r="E56" s="7">
        <v>420269</v>
      </c>
      <c r="F56" s="8" t="s">
        <v>38</v>
      </c>
      <c r="G56" s="7">
        <v>116264</v>
      </c>
      <c r="H56" s="9">
        <v>123996.59999999999</v>
      </c>
      <c r="I56" s="9">
        <f>189352.719203006-352.719203006127</f>
        <v>188999.99999999988</v>
      </c>
      <c r="J56" s="9">
        <f>65845.52950584+352.719203006127-198.24870884612</f>
        <v>66000</v>
      </c>
      <c r="K56" s="9">
        <f>65845.52950584+198.24870884612-43.7782146861136</f>
        <v>66000</v>
      </c>
      <c r="L56" s="9">
        <f>137136.76+43.7782146861136-180.538214686123</f>
        <v>137000</v>
      </c>
      <c r="M56" s="9">
        <f t="shared" si="112"/>
        <v>457999.99999999988</v>
      </c>
      <c r="N56" s="9">
        <f>94301.38+101806.4</f>
        <v>196107.78</v>
      </c>
      <c r="O56" s="9">
        <f t="shared" si="113"/>
        <v>320104.38</v>
      </c>
      <c r="P56" s="9">
        <f>244194.27-194.27</f>
        <v>244000</v>
      </c>
      <c r="Q56" s="9">
        <f>11673.83+194.27+131.9</f>
        <v>12000</v>
      </c>
      <c r="R56" s="9"/>
      <c r="S56" s="9"/>
      <c r="T56" s="9">
        <f t="shared" si="114"/>
        <v>256000</v>
      </c>
      <c r="U56" s="9">
        <f>121712.3+122481.97+11673.83</f>
        <v>255868.1</v>
      </c>
      <c r="V56" s="9">
        <f t="shared" si="115"/>
        <v>575972.48</v>
      </c>
      <c r="W56" s="9"/>
      <c r="X56" s="9"/>
      <c r="Y56" s="9"/>
      <c r="Z56" s="9"/>
      <c r="AA56" s="9"/>
      <c r="AB56" s="9"/>
      <c r="AC56" s="9"/>
      <c r="AD56" s="66">
        <f t="shared" si="116"/>
        <v>0</v>
      </c>
      <c r="AE56" s="9"/>
      <c r="AF56" s="9">
        <f t="shared" si="117"/>
        <v>575972.48</v>
      </c>
      <c r="AG56" s="9"/>
      <c r="AH56" s="9"/>
      <c r="AI56" s="9"/>
      <c r="AJ56" s="9"/>
      <c r="AK56" s="9"/>
      <c r="AL56" s="9"/>
      <c r="AM56" s="9"/>
      <c r="AN56" s="9"/>
      <c r="AO56" s="66">
        <f t="shared" si="118"/>
        <v>0</v>
      </c>
      <c r="AP56" s="66">
        <f t="shared" si="119"/>
        <v>0</v>
      </c>
      <c r="AQ56" s="66">
        <f t="shared" si="120"/>
        <v>0</v>
      </c>
      <c r="AR56" s="9"/>
      <c r="AS56" s="9"/>
      <c r="AT56" s="9"/>
      <c r="AU56" s="9"/>
      <c r="AV56" s="9"/>
      <c r="AW56" s="9">
        <f t="shared" si="121"/>
        <v>575972.48</v>
      </c>
      <c r="AX56" s="10" t="s">
        <v>32</v>
      </c>
      <c r="AZ56" s="23">
        <f t="shared" si="7"/>
        <v>575972.48</v>
      </c>
    </row>
    <row r="57" spans="1:53" s="23" customFormat="1">
      <c r="A57" s="160"/>
      <c r="B57" s="154"/>
      <c r="C57" s="155"/>
      <c r="D57" s="7" t="s">
        <v>21</v>
      </c>
      <c r="E57" s="36"/>
      <c r="F57" s="7" t="s">
        <v>19</v>
      </c>
      <c r="G57" s="7">
        <v>116264</v>
      </c>
      <c r="H57" s="9">
        <f>H64-H54-H55-H56</f>
        <v>149482.39000000001</v>
      </c>
      <c r="I57" s="9">
        <f t="shared" ref="I57:S57" si="122">I64-I54-I55-I56</f>
        <v>345999.99999999593</v>
      </c>
      <c r="J57" s="9">
        <f t="shared" si="122"/>
        <v>2107000.0499999998</v>
      </c>
      <c r="K57" s="9">
        <f t="shared" si="122"/>
        <v>323000</v>
      </c>
      <c r="L57" s="9">
        <f t="shared" si="122"/>
        <v>-563000</v>
      </c>
      <c r="M57" s="9">
        <f t="shared" si="122"/>
        <v>2213000.0499999961</v>
      </c>
      <c r="N57" s="9">
        <f t="shared" si="122"/>
        <v>4299587.9299999988</v>
      </c>
      <c r="O57" s="9">
        <f t="shared" si="122"/>
        <v>4449070.3200000012</v>
      </c>
      <c r="P57" s="9">
        <f t="shared" si="122"/>
        <v>-446000</v>
      </c>
      <c r="Q57" s="9">
        <f t="shared" si="122"/>
        <v>914000</v>
      </c>
      <c r="R57" s="9">
        <f t="shared" si="122"/>
        <v>2000</v>
      </c>
      <c r="S57" s="9">
        <f t="shared" si="122"/>
        <v>3000</v>
      </c>
      <c r="T57" s="9">
        <f>T64-T54-T55-T56</f>
        <v>473000</v>
      </c>
      <c r="U57" s="9">
        <f t="shared" ref="U57:V57" si="123">U64-U54-U55-U56</f>
        <v>386646.95999999961</v>
      </c>
      <c r="V57" s="9">
        <f t="shared" si="123"/>
        <v>4835717.2800000012</v>
      </c>
      <c r="W57" s="9">
        <f t="shared" ref="W57:AD57" si="124">W64-W54-W55-W56</f>
        <v>3000</v>
      </c>
      <c r="X57" s="9">
        <f t="shared" si="124"/>
        <v>0</v>
      </c>
      <c r="Y57" s="9">
        <f t="shared" si="124"/>
        <v>0</v>
      </c>
      <c r="Z57" s="9">
        <f t="shared" si="124"/>
        <v>0</v>
      </c>
      <c r="AA57" s="9"/>
      <c r="AB57" s="9"/>
      <c r="AC57" s="9"/>
      <c r="AD57" s="66">
        <f t="shared" si="124"/>
        <v>3000</v>
      </c>
      <c r="AE57" s="9">
        <f t="shared" ref="AE57:AF57" si="125">AE64-AE54-AE55-AE56</f>
        <v>0</v>
      </c>
      <c r="AF57" s="9">
        <f t="shared" si="125"/>
        <v>4835717.2800000012</v>
      </c>
      <c r="AG57" s="9">
        <f t="shared" ref="AG57:AW57" si="126">AG64-AG54-AG55-AG56</f>
        <v>5000</v>
      </c>
      <c r="AH57" s="9">
        <f t="shared" si="126"/>
        <v>0</v>
      </c>
      <c r="AI57" s="9">
        <f t="shared" si="126"/>
        <v>0</v>
      </c>
      <c r="AJ57" s="9">
        <f t="shared" si="126"/>
        <v>0</v>
      </c>
      <c r="AK57" s="9">
        <f t="shared" si="126"/>
        <v>0</v>
      </c>
      <c r="AL57" s="9">
        <f t="shared" si="126"/>
        <v>0</v>
      </c>
      <c r="AM57" s="9">
        <f t="shared" si="126"/>
        <v>0</v>
      </c>
      <c r="AN57" s="9">
        <f t="shared" si="126"/>
        <v>0</v>
      </c>
      <c r="AO57" s="66">
        <f t="shared" si="126"/>
        <v>5000</v>
      </c>
      <c r="AP57" s="66">
        <f t="shared" si="126"/>
        <v>0</v>
      </c>
      <c r="AQ57" s="66">
        <f t="shared" si="126"/>
        <v>5000</v>
      </c>
      <c r="AR57" s="9">
        <f t="shared" si="126"/>
        <v>-100</v>
      </c>
      <c r="AS57" s="9">
        <f t="shared" si="126"/>
        <v>0</v>
      </c>
      <c r="AT57" s="9">
        <f t="shared" si="126"/>
        <v>0</v>
      </c>
      <c r="AU57" s="9">
        <f t="shared" si="126"/>
        <v>0</v>
      </c>
      <c r="AV57" s="9">
        <f t="shared" si="126"/>
        <v>0</v>
      </c>
      <c r="AW57" s="9">
        <f t="shared" si="126"/>
        <v>4840617.2800000012</v>
      </c>
      <c r="AX57" s="10" t="s">
        <v>32</v>
      </c>
      <c r="AZ57" s="23">
        <f t="shared" si="7"/>
        <v>4840617.2800000012</v>
      </c>
    </row>
    <row r="58" spans="1:53" s="5" customFormat="1" ht="14.45" customHeight="1">
      <c r="A58" s="160"/>
      <c r="B58" s="154"/>
      <c r="C58" s="155"/>
      <c r="D58" s="7" t="s">
        <v>21</v>
      </c>
      <c r="E58" s="7"/>
      <c r="F58" s="8" t="s">
        <v>34</v>
      </c>
      <c r="G58" s="7">
        <v>116264</v>
      </c>
      <c r="H58" s="9">
        <f t="shared" ref="H58:M58" si="127">SUM(H54:H57)</f>
        <v>1434240.0900000003</v>
      </c>
      <c r="I58" s="9">
        <f t="shared" si="127"/>
        <v>2307000</v>
      </c>
      <c r="J58" s="9">
        <f t="shared" si="127"/>
        <v>2789000.05</v>
      </c>
      <c r="K58" s="9">
        <f t="shared" si="127"/>
        <v>1190000</v>
      </c>
      <c r="L58" s="9">
        <f t="shared" si="127"/>
        <v>674000</v>
      </c>
      <c r="M58" s="9">
        <f t="shared" si="127"/>
        <v>6960000.0499999998</v>
      </c>
      <c r="N58" s="9">
        <f t="shared" ref="N58:S58" si="128">SUM(N54:N57)</f>
        <v>6331506.4399999985</v>
      </c>
      <c r="O58" s="9">
        <f t="shared" si="128"/>
        <v>7765746.5300000012</v>
      </c>
      <c r="P58" s="9">
        <f t="shared" si="128"/>
        <v>2084000</v>
      </c>
      <c r="Q58" s="9">
        <f t="shared" si="128"/>
        <v>1035000</v>
      </c>
      <c r="R58" s="9">
        <f t="shared" si="128"/>
        <v>2000</v>
      </c>
      <c r="S58" s="9">
        <f t="shared" si="128"/>
        <v>3000</v>
      </c>
      <c r="T58" s="9">
        <f>SUM(T54:T57)</f>
        <v>3124000</v>
      </c>
      <c r="U58" s="9">
        <f t="shared" ref="U58:V58" si="129">SUM(U54:U57)</f>
        <v>3037756.16</v>
      </c>
      <c r="V58" s="9">
        <f t="shared" si="129"/>
        <v>10803502.690000001</v>
      </c>
      <c r="W58" s="9">
        <f t="shared" ref="W58:AD58" si="130">SUM(W54:W57)</f>
        <v>3000</v>
      </c>
      <c r="X58" s="9">
        <f t="shared" si="130"/>
        <v>0</v>
      </c>
      <c r="Y58" s="9">
        <f t="shared" si="130"/>
        <v>0</v>
      </c>
      <c r="Z58" s="9">
        <f t="shared" si="130"/>
        <v>0</v>
      </c>
      <c r="AA58" s="9"/>
      <c r="AB58" s="9"/>
      <c r="AC58" s="9"/>
      <c r="AD58" s="66">
        <f t="shared" si="130"/>
        <v>3000</v>
      </c>
      <c r="AE58" s="9">
        <f t="shared" ref="AE58:AF58" si="131">SUM(AE54:AE57)</f>
        <v>0</v>
      </c>
      <c r="AF58" s="9">
        <f t="shared" si="131"/>
        <v>10803502.690000001</v>
      </c>
      <c r="AG58" s="9">
        <f t="shared" ref="AG58:AW58" si="132">SUM(AG54:AG57)</f>
        <v>5000</v>
      </c>
      <c r="AH58" s="9">
        <f t="shared" si="132"/>
        <v>0</v>
      </c>
      <c r="AI58" s="9">
        <f t="shared" si="132"/>
        <v>0</v>
      </c>
      <c r="AJ58" s="9">
        <f t="shared" si="132"/>
        <v>0</v>
      </c>
      <c r="AK58" s="9">
        <f t="shared" si="132"/>
        <v>0</v>
      </c>
      <c r="AL58" s="9">
        <f t="shared" si="132"/>
        <v>0</v>
      </c>
      <c r="AM58" s="9">
        <f t="shared" si="132"/>
        <v>0</v>
      </c>
      <c r="AN58" s="9">
        <f t="shared" si="132"/>
        <v>0</v>
      </c>
      <c r="AO58" s="66">
        <f t="shared" si="132"/>
        <v>5000</v>
      </c>
      <c r="AP58" s="66">
        <f t="shared" si="132"/>
        <v>0</v>
      </c>
      <c r="AQ58" s="66">
        <f t="shared" si="132"/>
        <v>5000</v>
      </c>
      <c r="AR58" s="9">
        <f t="shared" si="132"/>
        <v>-100</v>
      </c>
      <c r="AS58" s="9">
        <f t="shared" si="132"/>
        <v>0</v>
      </c>
      <c r="AT58" s="9">
        <f t="shared" si="132"/>
        <v>0</v>
      </c>
      <c r="AU58" s="9">
        <f t="shared" si="132"/>
        <v>0</v>
      </c>
      <c r="AV58" s="9">
        <f t="shared" si="132"/>
        <v>0</v>
      </c>
      <c r="AW58" s="9">
        <f t="shared" si="132"/>
        <v>10808402.690000001</v>
      </c>
      <c r="AX58" s="10" t="s">
        <v>32</v>
      </c>
      <c r="AZ58" s="5">
        <f t="shared" si="7"/>
        <v>10808402.690000001</v>
      </c>
    </row>
    <row r="59" spans="1:53" s="4" customFormat="1" ht="30">
      <c r="A59" s="160"/>
      <c r="B59" s="154"/>
      <c r="C59" s="155"/>
      <c r="D59" s="25" t="s">
        <v>22</v>
      </c>
      <c r="E59" s="25">
        <v>580101</v>
      </c>
      <c r="F59" s="37" t="s">
        <v>41</v>
      </c>
      <c r="G59" s="25">
        <v>116264</v>
      </c>
      <c r="H59" s="26">
        <f>SUM(H60:H61)</f>
        <v>208740.05249999999</v>
      </c>
      <c r="I59" s="26">
        <f>SUM(I60:I61)</f>
        <v>299000</v>
      </c>
      <c r="J59" s="26">
        <f>SUM(J60:J61)</f>
        <v>352000.04999999993</v>
      </c>
      <c r="K59" s="26">
        <f>SUM(K60:K61)</f>
        <v>100000</v>
      </c>
      <c r="L59" s="26">
        <f>SUM(L60:L61)</f>
        <v>10000</v>
      </c>
      <c r="M59" s="26">
        <f t="shared" ref="M59:M65" si="133">SUM(I59:L59)</f>
        <v>761000.04999999993</v>
      </c>
      <c r="N59" s="26">
        <f>SUM(N60:N61)</f>
        <v>745756.17999999993</v>
      </c>
      <c r="O59" s="26">
        <f>SUM(O60:O61)</f>
        <v>954496.23250000004</v>
      </c>
      <c r="P59" s="26">
        <f t="shared" ref="P59:S59" si="134">SUM(P60:P61)</f>
        <v>0</v>
      </c>
      <c r="Q59" s="26">
        <f t="shared" si="134"/>
        <v>0</v>
      </c>
      <c r="R59" s="26">
        <f t="shared" si="134"/>
        <v>0</v>
      </c>
      <c r="S59" s="26">
        <f t="shared" si="134"/>
        <v>0</v>
      </c>
      <c r="T59" s="26">
        <f>SUM(T60:T61)</f>
        <v>0</v>
      </c>
      <c r="U59" s="26">
        <f t="shared" ref="U59:Z59" si="135">SUM(U60:U61)</f>
        <v>0</v>
      </c>
      <c r="V59" s="26">
        <f t="shared" si="135"/>
        <v>954496.23250000004</v>
      </c>
      <c r="W59" s="26">
        <f t="shared" si="135"/>
        <v>0</v>
      </c>
      <c r="X59" s="26">
        <f t="shared" si="135"/>
        <v>0</v>
      </c>
      <c r="Y59" s="26">
        <f t="shared" si="135"/>
        <v>0</v>
      </c>
      <c r="Z59" s="26">
        <f t="shared" si="135"/>
        <v>0</v>
      </c>
      <c r="AA59" s="26"/>
      <c r="AB59" s="26"/>
      <c r="AC59" s="26"/>
      <c r="AD59" s="67">
        <f>SUM(AD60:AD61)</f>
        <v>0</v>
      </c>
      <c r="AE59" s="26">
        <f t="shared" ref="AE59:AF59" si="136">SUM(AE60:AE61)</f>
        <v>0</v>
      </c>
      <c r="AF59" s="26">
        <f t="shared" si="136"/>
        <v>954496.23250000004</v>
      </c>
      <c r="AG59" s="26">
        <f t="shared" ref="AG59:AW59" si="137">SUM(AG60:AG61)</f>
        <v>0</v>
      </c>
      <c r="AH59" s="26">
        <f t="shared" si="137"/>
        <v>0</v>
      </c>
      <c r="AI59" s="26">
        <f t="shared" si="137"/>
        <v>0</v>
      </c>
      <c r="AJ59" s="26">
        <f t="shared" si="137"/>
        <v>0</v>
      </c>
      <c r="AK59" s="26">
        <f t="shared" si="137"/>
        <v>0</v>
      </c>
      <c r="AL59" s="26">
        <f t="shared" si="137"/>
        <v>0</v>
      </c>
      <c r="AM59" s="26">
        <f t="shared" si="137"/>
        <v>0</v>
      </c>
      <c r="AN59" s="26">
        <f t="shared" si="137"/>
        <v>0</v>
      </c>
      <c r="AO59" s="67">
        <f t="shared" si="137"/>
        <v>0</v>
      </c>
      <c r="AP59" s="67">
        <f t="shared" si="137"/>
        <v>0</v>
      </c>
      <c r="AQ59" s="67">
        <f t="shared" si="137"/>
        <v>0</v>
      </c>
      <c r="AR59" s="26">
        <f t="shared" si="137"/>
        <v>0</v>
      </c>
      <c r="AS59" s="26">
        <f t="shared" si="137"/>
        <v>0</v>
      </c>
      <c r="AT59" s="26">
        <f t="shared" si="137"/>
        <v>0</v>
      </c>
      <c r="AU59" s="26">
        <f t="shared" si="137"/>
        <v>0</v>
      </c>
      <c r="AV59" s="26">
        <f t="shared" si="137"/>
        <v>0</v>
      </c>
      <c r="AW59" s="26">
        <f t="shared" si="137"/>
        <v>954496.23250000004</v>
      </c>
      <c r="AX59" s="14" t="s">
        <v>32</v>
      </c>
      <c r="AZ59" s="41">
        <f t="shared" si="7"/>
        <v>954496.23250000004</v>
      </c>
    </row>
    <row r="60" spans="1:53" s="4" customFormat="1">
      <c r="A60" s="160"/>
      <c r="B60" s="154"/>
      <c r="C60" s="155"/>
      <c r="D60" s="25"/>
      <c r="E60" s="25"/>
      <c r="F60" s="37" t="s">
        <v>23</v>
      </c>
      <c r="G60" s="25">
        <v>116264</v>
      </c>
      <c r="H60" s="26">
        <f>66892.9112+3150*5.92/15+14247</f>
        <v>82383.111199999999</v>
      </c>
      <c r="I60" s="26">
        <v>118005.33333333333</v>
      </c>
      <c r="J60" s="26">
        <v>138922.68639999998</v>
      </c>
      <c r="K60" s="26">
        <v>39466.666666666664</v>
      </c>
      <c r="L60" s="26">
        <v>3946.6666666666665</v>
      </c>
      <c r="M60" s="26">
        <f t="shared" si="133"/>
        <v>300341.35306666669</v>
      </c>
      <c r="N60" s="26">
        <f>745756.18*5.92/15</f>
        <v>294325.10570666665</v>
      </c>
      <c r="O60" s="26">
        <f>H60+N60</f>
        <v>376708.21690666664</v>
      </c>
      <c r="P60" s="26"/>
      <c r="Q60" s="26"/>
      <c r="R60" s="26"/>
      <c r="S60" s="26"/>
      <c r="T60" s="26">
        <f t="shared" ref="T60:T62" si="138">SUM(P60:S60)</f>
        <v>0</v>
      </c>
      <c r="U60" s="26"/>
      <c r="V60" s="26">
        <f t="shared" ref="V60:V63" si="139">O60+U60</f>
        <v>376708.21690666664</v>
      </c>
      <c r="W60" s="26"/>
      <c r="X60" s="26"/>
      <c r="Y60" s="26"/>
      <c r="Z60" s="26"/>
      <c r="AA60" s="26"/>
      <c r="AB60" s="26"/>
      <c r="AC60" s="26"/>
      <c r="AD60" s="67">
        <f t="shared" si="116"/>
        <v>0</v>
      </c>
      <c r="AE60" s="26"/>
      <c r="AF60" s="26">
        <f t="shared" ref="AF60:AF63" si="140">V60+AE60</f>
        <v>376708.21690666664</v>
      </c>
      <c r="AG60" s="26"/>
      <c r="AH60" s="26"/>
      <c r="AI60" s="26"/>
      <c r="AJ60" s="26"/>
      <c r="AK60" s="26"/>
      <c r="AL60" s="26"/>
      <c r="AM60" s="26"/>
      <c r="AN60" s="26"/>
      <c r="AO60" s="67">
        <f t="shared" si="118"/>
        <v>0</v>
      </c>
      <c r="AP60" s="67">
        <f t="shared" si="119"/>
        <v>0</v>
      </c>
      <c r="AQ60" s="67">
        <f t="shared" si="120"/>
        <v>0</v>
      </c>
      <c r="AR60" s="26"/>
      <c r="AS60" s="26"/>
      <c r="AT60" s="26"/>
      <c r="AU60" s="26"/>
      <c r="AV60" s="26"/>
      <c r="AW60" s="26">
        <f t="shared" si="121"/>
        <v>376708.21690666664</v>
      </c>
      <c r="AX60" s="14" t="s">
        <v>32</v>
      </c>
      <c r="AZ60" s="41">
        <f t="shared" si="7"/>
        <v>376708.21690666664</v>
      </c>
    </row>
    <row r="61" spans="1:53" s="4" customFormat="1">
      <c r="A61" s="160"/>
      <c r="B61" s="154"/>
      <c r="C61" s="155"/>
      <c r="D61" s="25"/>
      <c r="E61" s="25"/>
      <c r="F61" s="37" t="s">
        <v>42</v>
      </c>
      <c r="G61" s="25">
        <v>116264</v>
      </c>
      <c r="H61" s="26">
        <f>145093.0913+3150*9.085/15-20644</f>
        <v>126356.94130000001</v>
      </c>
      <c r="I61" s="26">
        <v>180994.66666666666</v>
      </c>
      <c r="J61" s="26">
        <v>213077.36359999998</v>
      </c>
      <c r="K61" s="26">
        <v>60533.333333333336</v>
      </c>
      <c r="L61" s="26">
        <v>6053.333333333333</v>
      </c>
      <c r="M61" s="26">
        <f t="shared" si="133"/>
        <v>460658.6969333333</v>
      </c>
      <c r="N61" s="26">
        <f>745756.18*9.08/15</f>
        <v>451431.07429333334</v>
      </c>
      <c r="O61" s="26">
        <f t="shared" ref="O61:O63" si="141">H61+N61</f>
        <v>577788.0155933334</v>
      </c>
      <c r="P61" s="26"/>
      <c r="Q61" s="26"/>
      <c r="R61" s="26"/>
      <c r="S61" s="26"/>
      <c r="T61" s="26">
        <f t="shared" si="138"/>
        <v>0</v>
      </c>
      <c r="U61" s="26"/>
      <c r="V61" s="26">
        <f t="shared" si="139"/>
        <v>577788.0155933334</v>
      </c>
      <c r="W61" s="26"/>
      <c r="X61" s="26"/>
      <c r="Y61" s="26"/>
      <c r="Z61" s="26"/>
      <c r="AA61" s="26"/>
      <c r="AB61" s="26"/>
      <c r="AC61" s="26"/>
      <c r="AD61" s="67">
        <f t="shared" si="116"/>
        <v>0</v>
      </c>
      <c r="AE61" s="26"/>
      <c r="AF61" s="26">
        <f t="shared" si="140"/>
        <v>577788.0155933334</v>
      </c>
      <c r="AG61" s="26"/>
      <c r="AH61" s="26"/>
      <c r="AI61" s="26"/>
      <c r="AJ61" s="26"/>
      <c r="AK61" s="26"/>
      <c r="AL61" s="26"/>
      <c r="AM61" s="26"/>
      <c r="AN61" s="26"/>
      <c r="AO61" s="67">
        <f t="shared" si="118"/>
        <v>0</v>
      </c>
      <c r="AP61" s="67">
        <f t="shared" si="119"/>
        <v>0</v>
      </c>
      <c r="AQ61" s="67">
        <f t="shared" si="120"/>
        <v>0</v>
      </c>
      <c r="AR61" s="26"/>
      <c r="AS61" s="26"/>
      <c r="AT61" s="26"/>
      <c r="AU61" s="26"/>
      <c r="AV61" s="26"/>
      <c r="AW61" s="26">
        <f t="shared" si="121"/>
        <v>577788.0155933334</v>
      </c>
      <c r="AX61" s="14" t="s">
        <v>32</v>
      </c>
      <c r="AZ61" s="41">
        <f t="shared" si="7"/>
        <v>577788.0155933334</v>
      </c>
    </row>
    <row r="62" spans="1:53" s="4" customFormat="1" ht="30">
      <c r="A62" s="160"/>
      <c r="B62" s="154"/>
      <c r="C62" s="155"/>
      <c r="D62" s="25" t="s">
        <v>22</v>
      </c>
      <c r="E62" s="25">
        <v>580102</v>
      </c>
      <c r="F62" s="37" t="s">
        <v>31</v>
      </c>
      <c r="G62" s="25">
        <v>116264</v>
      </c>
      <c r="H62" s="26">
        <f>1201254.0375+17850-36243</f>
        <v>1182861.0375000001</v>
      </c>
      <c r="I62" s="26">
        <f>1689092.8+907.2</f>
        <v>1690000</v>
      </c>
      <c r="J62" s="26">
        <f>1994473.15-907.2+434.05</f>
        <v>1994000</v>
      </c>
      <c r="K62" s="26">
        <f>571315.6-434.05+118.45</f>
        <v>570999.99999999988</v>
      </c>
      <c r="L62" s="26">
        <f>52649.85-118.45+468.6</f>
        <v>53000</v>
      </c>
      <c r="M62" s="26">
        <f t="shared" si="133"/>
        <v>4308000</v>
      </c>
      <c r="N62" s="26">
        <v>4225951.8600000003</v>
      </c>
      <c r="O62" s="26">
        <f t="shared" si="141"/>
        <v>5408812.8975000009</v>
      </c>
      <c r="P62" s="26"/>
      <c r="Q62" s="26"/>
      <c r="R62" s="26"/>
      <c r="S62" s="26"/>
      <c r="T62" s="26">
        <f t="shared" si="138"/>
        <v>0</v>
      </c>
      <c r="U62" s="26"/>
      <c r="V62" s="26">
        <f t="shared" si="139"/>
        <v>5408812.8975000009</v>
      </c>
      <c r="W62" s="26"/>
      <c r="X62" s="26"/>
      <c r="Y62" s="26"/>
      <c r="Z62" s="26"/>
      <c r="AA62" s="26"/>
      <c r="AB62" s="26"/>
      <c r="AC62" s="26"/>
      <c r="AD62" s="67">
        <f t="shared" si="116"/>
        <v>0</v>
      </c>
      <c r="AE62" s="26"/>
      <c r="AF62" s="26">
        <f t="shared" si="140"/>
        <v>5408812.8975000009</v>
      </c>
      <c r="AG62" s="26"/>
      <c r="AH62" s="26"/>
      <c r="AI62" s="26"/>
      <c r="AJ62" s="26"/>
      <c r="AK62" s="26"/>
      <c r="AL62" s="26"/>
      <c r="AM62" s="26"/>
      <c r="AN62" s="26"/>
      <c r="AO62" s="67">
        <f t="shared" si="118"/>
        <v>0</v>
      </c>
      <c r="AP62" s="67">
        <f t="shared" si="119"/>
        <v>0</v>
      </c>
      <c r="AQ62" s="67">
        <f t="shared" si="120"/>
        <v>0</v>
      </c>
      <c r="AR62" s="26"/>
      <c r="AS62" s="26"/>
      <c r="AT62" s="26"/>
      <c r="AU62" s="26"/>
      <c r="AV62" s="26"/>
      <c r="AW62" s="26">
        <f t="shared" si="121"/>
        <v>5408812.8975000009</v>
      </c>
      <c r="AX62" s="14" t="s">
        <v>32</v>
      </c>
      <c r="AZ62" s="41">
        <f t="shared" si="7"/>
        <v>5408812.8975000009</v>
      </c>
    </row>
    <row r="63" spans="1:53" s="4" customFormat="1">
      <c r="A63" s="160"/>
      <c r="B63" s="154"/>
      <c r="C63" s="155"/>
      <c r="D63" s="25" t="s">
        <v>22</v>
      </c>
      <c r="E63" s="25">
        <v>580103</v>
      </c>
      <c r="F63" s="37" t="s">
        <v>28</v>
      </c>
      <c r="G63" s="25">
        <v>116264</v>
      </c>
      <c r="H63" s="26">
        <v>42639</v>
      </c>
      <c r="I63" s="26">
        <f>317157+843</f>
        <v>318000</v>
      </c>
      <c r="J63" s="26">
        <f>443797-843+46</f>
        <v>443000</v>
      </c>
      <c r="K63" s="26">
        <v>519000</v>
      </c>
      <c r="L63" s="26">
        <f>610772.5-323+550.5</f>
        <v>611000</v>
      </c>
      <c r="M63" s="26">
        <f t="shared" si="133"/>
        <v>1891000</v>
      </c>
      <c r="N63" s="26">
        <v>1359798.4</v>
      </c>
      <c r="O63" s="26">
        <f t="shared" si="141"/>
        <v>1402437.4</v>
      </c>
      <c r="P63" s="26">
        <f>2083185+815</f>
        <v>2084000</v>
      </c>
      <c r="Q63" s="26">
        <f>1035113-815+702</f>
        <v>1035000</v>
      </c>
      <c r="R63" s="26">
        <f>2083-702+619</f>
        <v>2000</v>
      </c>
      <c r="S63" s="26">
        <f>2678-619+941</f>
        <v>3000</v>
      </c>
      <c r="T63" s="26">
        <f>SUM(P63:S63)</f>
        <v>3124000</v>
      </c>
      <c r="U63" s="26">
        <v>3037756.16</v>
      </c>
      <c r="V63" s="26">
        <f t="shared" si="139"/>
        <v>4440193.5600000005</v>
      </c>
      <c r="W63" s="26">
        <v>3000</v>
      </c>
      <c r="X63" s="26"/>
      <c r="Y63" s="26"/>
      <c r="Z63" s="26"/>
      <c r="AA63" s="26"/>
      <c r="AB63" s="26"/>
      <c r="AC63" s="26"/>
      <c r="AD63" s="67">
        <f t="shared" si="116"/>
        <v>3000</v>
      </c>
      <c r="AE63" s="26">
        <v>0</v>
      </c>
      <c r="AF63" s="26">
        <f t="shared" si="140"/>
        <v>4440193.5600000005</v>
      </c>
      <c r="AG63" s="26">
        <f>4900+100</f>
        <v>5000</v>
      </c>
      <c r="AH63" s="26"/>
      <c r="AI63" s="26"/>
      <c r="AJ63" s="26"/>
      <c r="AK63" s="26"/>
      <c r="AL63" s="26"/>
      <c r="AM63" s="26"/>
      <c r="AN63" s="26"/>
      <c r="AO63" s="67">
        <f t="shared" si="118"/>
        <v>5000</v>
      </c>
      <c r="AP63" s="67">
        <f t="shared" si="119"/>
        <v>0</v>
      </c>
      <c r="AQ63" s="67">
        <f t="shared" si="120"/>
        <v>5000</v>
      </c>
      <c r="AR63" s="26">
        <v>-100</v>
      </c>
      <c r="AS63" s="26"/>
      <c r="AT63" s="26"/>
      <c r="AU63" s="26"/>
      <c r="AV63" s="26"/>
      <c r="AW63" s="26">
        <f t="shared" si="121"/>
        <v>4445093.5600000005</v>
      </c>
      <c r="AX63" s="14" t="s">
        <v>32</v>
      </c>
      <c r="AZ63" s="41">
        <f t="shared" si="7"/>
        <v>4445093.5600000005</v>
      </c>
    </row>
    <row r="64" spans="1:53" s="4" customFormat="1">
      <c r="A64" s="160"/>
      <c r="B64" s="154"/>
      <c r="C64" s="155"/>
      <c r="D64" s="25" t="s">
        <v>22</v>
      </c>
      <c r="E64" s="14"/>
      <c r="F64" s="37" t="s">
        <v>29</v>
      </c>
      <c r="G64" s="25">
        <v>116264</v>
      </c>
      <c r="H64" s="26">
        <f>H59+H62+H63</f>
        <v>1434240.09</v>
      </c>
      <c r="I64" s="26">
        <f t="shared" ref="I64:M64" si="142">I59+I62+I63</f>
        <v>2307000</v>
      </c>
      <c r="J64" s="26">
        <f t="shared" si="142"/>
        <v>2789000.05</v>
      </c>
      <c r="K64" s="26">
        <f t="shared" si="142"/>
        <v>1190000</v>
      </c>
      <c r="L64" s="26">
        <f t="shared" si="142"/>
        <v>674000</v>
      </c>
      <c r="M64" s="26">
        <f t="shared" si="142"/>
        <v>6960000.0499999998</v>
      </c>
      <c r="N64" s="26">
        <f>N59+N62+N63</f>
        <v>6331506.4399999995</v>
      </c>
      <c r="O64" s="26">
        <f t="shared" ref="O64:S64" si="143">O59+O62+O63</f>
        <v>7765746.5300000012</v>
      </c>
      <c r="P64" s="26">
        <f t="shared" si="143"/>
        <v>2084000</v>
      </c>
      <c r="Q64" s="26">
        <f t="shared" si="143"/>
        <v>1035000</v>
      </c>
      <c r="R64" s="26">
        <f t="shared" si="143"/>
        <v>2000</v>
      </c>
      <c r="S64" s="26">
        <f t="shared" si="143"/>
        <v>3000</v>
      </c>
      <c r="T64" s="26">
        <f>T59+T62+T63</f>
        <v>3124000</v>
      </c>
      <c r="U64" s="26">
        <f t="shared" ref="U64:Z64" si="144">U59+U62+U63</f>
        <v>3037756.16</v>
      </c>
      <c r="V64" s="26">
        <f t="shared" si="144"/>
        <v>10803502.690000001</v>
      </c>
      <c r="W64" s="26">
        <f t="shared" si="144"/>
        <v>3000</v>
      </c>
      <c r="X64" s="26">
        <f t="shared" si="144"/>
        <v>0</v>
      </c>
      <c r="Y64" s="26">
        <f t="shared" si="144"/>
        <v>0</v>
      </c>
      <c r="Z64" s="26">
        <f t="shared" si="144"/>
        <v>0</v>
      </c>
      <c r="AA64" s="26"/>
      <c r="AB64" s="26"/>
      <c r="AC64" s="26"/>
      <c r="AD64" s="67">
        <f>AD59+AD62+AD63</f>
        <v>3000</v>
      </c>
      <c r="AE64" s="26">
        <f t="shared" ref="AE64:AW64" si="145">AE59+AE62+AE63</f>
        <v>0</v>
      </c>
      <c r="AF64" s="26">
        <f t="shared" si="145"/>
        <v>10803502.690000001</v>
      </c>
      <c r="AG64" s="26">
        <f t="shared" si="145"/>
        <v>5000</v>
      </c>
      <c r="AH64" s="26">
        <f t="shared" si="145"/>
        <v>0</v>
      </c>
      <c r="AI64" s="26">
        <f t="shared" si="145"/>
        <v>0</v>
      </c>
      <c r="AJ64" s="26">
        <f t="shared" si="145"/>
        <v>0</v>
      </c>
      <c r="AK64" s="26">
        <f t="shared" si="145"/>
        <v>0</v>
      </c>
      <c r="AL64" s="26">
        <f t="shared" si="145"/>
        <v>0</v>
      </c>
      <c r="AM64" s="26">
        <f t="shared" si="145"/>
        <v>0</v>
      </c>
      <c r="AN64" s="26">
        <f t="shared" si="145"/>
        <v>0</v>
      </c>
      <c r="AO64" s="67">
        <f t="shared" si="145"/>
        <v>5000</v>
      </c>
      <c r="AP64" s="67">
        <f t="shared" si="145"/>
        <v>0</v>
      </c>
      <c r="AQ64" s="67">
        <f t="shared" si="145"/>
        <v>5000</v>
      </c>
      <c r="AR64" s="26">
        <f t="shared" si="145"/>
        <v>-100</v>
      </c>
      <c r="AS64" s="26">
        <f t="shared" si="145"/>
        <v>0</v>
      </c>
      <c r="AT64" s="26">
        <f t="shared" si="145"/>
        <v>0</v>
      </c>
      <c r="AU64" s="26">
        <f t="shared" si="145"/>
        <v>0</v>
      </c>
      <c r="AV64" s="26">
        <f t="shared" si="145"/>
        <v>0</v>
      </c>
      <c r="AW64" s="26">
        <f t="shared" si="145"/>
        <v>10808402.690000001</v>
      </c>
      <c r="AX64" s="14" t="s">
        <v>32</v>
      </c>
      <c r="AZ64" s="4">
        <f t="shared" si="7"/>
        <v>10808402.690000001</v>
      </c>
    </row>
    <row r="65" spans="1:53" s="42" customFormat="1">
      <c r="A65" s="160"/>
      <c r="B65" s="154"/>
      <c r="C65" s="155"/>
      <c r="D65" s="28" t="s">
        <v>22</v>
      </c>
      <c r="E65" s="27"/>
      <c r="F65" s="29" t="s">
        <v>40</v>
      </c>
      <c r="G65" s="28"/>
      <c r="H65" s="30"/>
      <c r="I65" s="30">
        <v>26000</v>
      </c>
      <c r="J65" s="30"/>
      <c r="K65" s="30"/>
      <c r="L65" s="30"/>
      <c r="M65" s="30">
        <f t="shared" si="133"/>
        <v>26000</v>
      </c>
      <c r="N65" s="30">
        <v>17126.48</v>
      </c>
      <c r="O65" s="30"/>
      <c r="P65" s="30">
        <v>18000</v>
      </c>
      <c r="Q65" s="30"/>
      <c r="R65" s="30"/>
      <c r="S65" s="30"/>
      <c r="T65" s="30">
        <f t="shared" ref="T65" si="146">SUM(P65:S65)</f>
        <v>18000</v>
      </c>
      <c r="U65" s="30">
        <v>17126.48</v>
      </c>
      <c r="V65" s="30"/>
      <c r="W65" s="30"/>
      <c r="X65" s="30"/>
      <c r="Y65" s="30"/>
      <c r="Z65" s="30"/>
      <c r="AA65" s="30"/>
      <c r="AB65" s="30"/>
      <c r="AC65" s="30"/>
      <c r="AD65" s="68">
        <f t="shared" si="116"/>
        <v>0</v>
      </c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68">
        <f t="shared" si="118"/>
        <v>0</v>
      </c>
      <c r="AP65" s="68">
        <f t="shared" si="119"/>
        <v>0</v>
      </c>
      <c r="AQ65" s="68">
        <f t="shared" si="120"/>
        <v>0</v>
      </c>
      <c r="AR65" s="30"/>
      <c r="AS65" s="30"/>
      <c r="AT65" s="30"/>
      <c r="AU65" s="30"/>
      <c r="AV65" s="30"/>
      <c r="AW65" s="30">
        <f t="shared" si="121"/>
        <v>0</v>
      </c>
      <c r="AX65" s="27"/>
      <c r="AZ65" s="42">
        <f t="shared" si="7"/>
        <v>0</v>
      </c>
    </row>
    <row r="66" spans="1:53" s="23" customFormat="1">
      <c r="A66" s="132" t="s">
        <v>140</v>
      </c>
      <c r="B66" s="134" t="s">
        <v>23</v>
      </c>
      <c r="C66" s="150">
        <v>67</v>
      </c>
      <c r="D66" s="7" t="s">
        <v>21</v>
      </c>
      <c r="E66" s="7">
        <v>480201</v>
      </c>
      <c r="F66" s="8" t="s">
        <v>35</v>
      </c>
      <c r="G66" s="7">
        <v>116375</v>
      </c>
      <c r="H66" s="9">
        <f>3157975.9715+1557.4</f>
        <v>3159533.3714999999</v>
      </c>
      <c r="I66" s="9">
        <f>2813417.584-417.583999999798</f>
        <v>2813000</v>
      </c>
      <c r="J66" s="9">
        <f>240414.493+417.583999999798-832.076999999786</f>
        <v>240000</v>
      </c>
      <c r="K66" s="9">
        <f>43196.0055+832.076999999786-28.0824999997857</f>
        <v>44000</v>
      </c>
      <c r="L66" s="9">
        <f>1723961.398+28.0824999997857-989.48049999983-11000</f>
        <v>1712000</v>
      </c>
      <c r="M66" s="9">
        <f t="shared" ref="M66:M68" si="147">SUM(I66:L66)</f>
        <v>4809000</v>
      </c>
      <c r="N66" s="9">
        <f>43912.25+129004.19</f>
        <v>172916.44</v>
      </c>
      <c r="O66" s="9">
        <f t="shared" ref="O66:O68" si="148">H66+N66</f>
        <v>3332449.8114999998</v>
      </c>
      <c r="P66" s="9"/>
      <c r="Q66" s="9">
        <f>20194.8-194.8</f>
        <v>20000</v>
      </c>
      <c r="R66" s="9"/>
      <c r="S66" s="9"/>
      <c r="T66" s="9">
        <f t="shared" ref="T66:T68" si="149">SUM(P66:S66)</f>
        <v>20000</v>
      </c>
      <c r="U66" s="9">
        <v>20194.8</v>
      </c>
      <c r="V66" s="9">
        <f t="shared" ref="V66:V68" si="150">O66+U66</f>
        <v>3352644.6114999996</v>
      </c>
      <c r="W66" s="9"/>
      <c r="X66" s="9"/>
      <c r="Y66" s="9"/>
      <c r="Z66" s="9"/>
      <c r="AA66" s="9"/>
      <c r="AB66" s="9"/>
      <c r="AC66" s="9"/>
      <c r="AD66" s="66">
        <f t="shared" si="116"/>
        <v>0</v>
      </c>
      <c r="AE66" s="9"/>
      <c r="AF66" s="9">
        <f t="shared" ref="AF66:AF68" si="151">V66+AE66</f>
        <v>3352644.6114999996</v>
      </c>
      <c r="AG66" s="9"/>
      <c r="AH66" s="9"/>
      <c r="AI66" s="9"/>
      <c r="AJ66" s="9"/>
      <c r="AK66" s="9"/>
      <c r="AL66" s="9"/>
      <c r="AM66" s="9"/>
      <c r="AN66" s="9"/>
      <c r="AO66" s="66">
        <f t="shared" si="118"/>
        <v>0</v>
      </c>
      <c r="AP66" s="66">
        <f t="shared" si="119"/>
        <v>0</v>
      </c>
      <c r="AQ66" s="66">
        <f t="shared" si="120"/>
        <v>0</v>
      </c>
      <c r="AR66" s="9"/>
      <c r="AS66" s="9"/>
      <c r="AT66" s="9"/>
      <c r="AU66" s="9"/>
      <c r="AV66" s="9"/>
      <c r="AW66" s="9">
        <f t="shared" si="121"/>
        <v>3352644.6114999996</v>
      </c>
      <c r="AX66" s="10" t="s">
        <v>32</v>
      </c>
      <c r="AY66" s="23">
        <v>3352644.6114999996</v>
      </c>
      <c r="AZ66" s="23">
        <f t="shared" si="7"/>
        <v>0</v>
      </c>
    </row>
    <row r="67" spans="1:53" s="23" customFormat="1">
      <c r="A67" s="160"/>
      <c r="B67" s="154"/>
      <c r="C67" s="155"/>
      <c r="D67" s="7" t="s">
        <v>21</v>
      </c>
      <c r="E67" s="7" t="s">
        <v>106</v>
      </c>
      <c r="F67" s="8" t="s">
        <v>36</v>
      </c>
      <c r="G67" s="7">
        <v>116375</v>
      </c>
      <c r="H67" s="9"/>
      <c r="I67" s="9"/>
      <c r="J67" s="9"/>
      <c r="K67" s="9"/>
      <c r="L67" s="9"/>
      <c r="M67" s="9">
        <f t="shared" si="147"/>
        <v>0</v>
      </c>
      <c r="N67" s="9">
        <v>2816655.05</v>
      </c>
      <c r="O67" s="9">
        <f t="shared" si="148"/>
        <v>2816655.05</v>
      </c>
      <c r="P67" s="9"/>
      <c r="Q67" s="9"/>
      <c r="R67" s="9"/>
      <c r="S67" s="9"/>
      <c r="T67" s="9">
        <f t="shared" si="149"/>
        <v>0</v>
      </c>
      <c r="U67" s="9"/>
      <c r="V67" s="9">
        <f t="shared" si="150"/>
        <v>2816655.05</v>
      </c>
      <c r="W67" s="9"/>
      <c r="X67" s="9"/>
      <c r="Y67" s="9"/>
      <c r="Z67" s="9"/>
      <c r="AA67" s="9"/>
      <c r="AB67" s="9"/>
      <c r="AC67" s="9"/>
      <c r="AD67" s="66">
        <f t="shared" si="116"/>
        <v>0</v>
      </c>
      <c r="AE67" s="9"/>
      <c r="AF67" s="9">
        <f t="shared" si="151"/>
        <v>2816655.05</v>
      </c>
      <c r="AG67" s="9"/>
      <c r="AH67" s="9"/>
      <c r="AI67" s="9"/>
      <c r="AJ67" s="9"/>
      <c r="AK67" s="9"/>
      <c r="AL67" s="9"/>
      <c r="AM67" s="9"/>
      <c r="AN67" s="9"/>
      <c r="AO67" s="66">
        <f t="shared" si="118"/>
        <v>0</v>
      </c>
      <c r="AP67" s="66">
        <f t="shared" si="119"/>
        <v>0</v>
      </c>
      <c r="AQ67" s="66">
        <f t="shared" si="120"/>
        <v>0</v>
      </c>
      <c r="AR67" s="9"/>
      <c r="AS67" s="9"/>
      <c r="AT67" s="9"/>
      <c r="AU67" s="9"/>
      <c r="AV67" s="9"/>
      <c r="AW67" s="9">
        <f t="shared" si="121"/>
        <v>2816655.05</v>
      </c>
      <c r="AX67" s="10" t="s">
        <v>32</v>
      </c>
      <c r="AY67" s="23">
        <v>2816655.05</v>
      </c>
      <c r="AZ67" s="23">
        <f t="shared" si="7"/>
        <v>0</v>
      </c>
    </row>
    <row r="68" spans="1:53" s="23" customFormat="1" ht="180">
      <c r="A68" s="160"/>
      <c r="B68" s="154"/>
      <c r="C68" s="155"/>
      <c r="D68" s="7" t="s">
        <v>21</v>
      </c>
      <c r="E68" s="7" t="s">
        <v>37</v>
      </c>
      <c r="F68" s="8" t="s">
        <v>38</v>
      </c>
      <c r="G68" s="7">
        <v>116375</v>
      </c>
      <c r="H68" s="9">
        <f>482984.5247+238.19</f>
        <v>483222.71470000001</v>
      </c>
      <c r="I68" s="9">
        <f>430287.3952-287.395200000028</f>
        <v>430000</v>
      </c>
      <c r="J68" s="9">
        <f>36769.2754+287.395200000028-56.6706000000268</f>
        <v>37000</v>
      </c>
      <c r="K68" s="9">
        <f>6606.4479+56.6706000000268-663.118500000027</f>
        <v>6000</v>
      </c>
      <c r="L68" s="9">
        <f>263664.6844+663.118500000027-327.802900000068-2000</f>
        <v>262000</v>
      </c>
      <c r="M68" s="9">
        <f t="shared" si="147"/>
        <v>735000</v>
      </c>
      <c r="N68" s="9">
        <f>6715.99+19730.05</f>
        <v>26446.04</v>
      </c>
      <c r="O68" s="9">
        <f t="shared" si="148"/>
        <v>509668.75469999999</v>
      </c>
      <c r="P68" s="9"/>
      <c r="Q68" s="9">
        <f>433871.15+128.85</f>
        <v>434000</v>
      </c>
      <c r="R68" s="9"/>
      <c r="S68" s="9"/>
      <c r="T68" s="9">
        <f t="shared" si="149"/>
        <v>434000</v>
      </c>
      <c r="U68" s="9">
        <v>433871.16</v>
      </c>
      <c r="V68" s="9">
        <f t="shared" si="150"/>
        <v>943539.91469999996</v>
      </c>
      <c r="W68" s="9"/>
      <c r="X68" s="9"/>
      <c r="Y68" s="9"/>
      <c r="Z68" s="9"/>
      <c r="AA68" s="9"/>
      <c r="AB68" s="9"/>
      <c r="AC68" s="9"/>
      <c r="AD68" s="66">
        <f t="shared" si="116"/>
        <v>0</v>
      </c>
      <c r="AE68" s="9"/>
      <c r="AF68" s="9">
        <f t="shared" si="151"/>
        <v>943539.91469999996</v>
      </c>
      <c r="AG68" s="9"/>
      <c r="AH68" s="9"/>
      <c r="AI68" s="9"/>
      <c r="AJ68" s="9"/>
      <c r="AK68" s="9"/>
      <c r="AL68" s="9"/>
      <c r="AM68" s="9"/>
      <c r="AN68" s="9"/>
      <c r="AO68" s="66">
        <f t="shared" si="118"/>
        <v>0</v>
      </c>
      <c r="AP68" s="66">
        <f t="shared" si="119"/>
        <v>0</v>
      </c>
      <c r="AQ68" s="66">
        <f t="shared" si="120"/>
        <v>0</v>
      </c>
      <c r="AR68" s="9"/>
      <c r="AS68" s="9"/>
      <c r="AT68" s="9"/>
      <c r="AU68" s="9"/>
      <c r="AV68" s="9"/>
      <c r="AW68" s="9">
        <f t="shared" si="121"/>
        <v>943539.91469999996</v>
      </c>
      <c r="AX68" s="10" t="s">
        <v>32</v>
      </c>
      <c r="AY68" s="23">
        <v>943539.90470000007</v>
      </c>
      <c r="AZ68" s="23">
        <f t="shared" si="7"/>
        <v>9.9999998928979039E-3</v>
      </c>
    </row>
    <row r="69" spans="1:53" s="23" customFormat="1">
      <c r="A69" s="160"/>
      <c r="B69" s="154"/>
      <c r="C69" s="155"/>
      <c r="D69" s="7" t="s">
        <v>21</v>
      </c>
      <c r="E69" s="36"/>
      <c r="F69" s="7" t="s">
        <v>19</v>
      </c>
      <c r="G69" s="7">
        <v>116375</v>
      </c>
      <c r="H69" s="9">
        <f>H76-H66-H67-H68</f>
        <v>1530030.633799999</v>
      </c>
      <c r="I69" s="9">
        <f t="shared" ref="I69:L69" si="152">I76-I66-I67-I68</f>
        <v>1153000</v>
      </c>
      <c r="J69" s="9">
        <f t="shared" si="152"/>
        <v>90000</v>
      </c>
      <c r="K69" s="9">
        <f t="shared" si="152"/>
        <v>-42000</v>
      </c>
      <c r="L69" s="9">
        <f t="shared" si="152"/>
        <v>-1900000.3333333333</v>
      </c>
      <c r="M69" s="9">
        <f>M76-M66-M67-M68</f>
        <v>-699000.33333333395</v>
      </c>
      <c r="N69" s="9">
        <f>N76-N66-N67-N68</f>
        <v>1801873.0599999996</v>
      </c>
      <c r="O69" s="9">
        <f t="shared" ref="O69:S69" si="153">O76-O66-O67-O68</f>
        <v>3331903.6937999991</v>
      </c>
      <c r="P69" s="9">
        <f t="shared" si="153"/>
        <v>21000</v>
      </c>
      <c r="Q69" s="9">
        <f t="shared" si="153"/>
        <v>-454000</v>
      </c>
      <c r="R69" s="9">
        <f t="shared" si="153"/>
        <v>0</v>
      </c>
      <c r="S69" s="9">
        <f t="shared" si="153"/>
        <v>0</v>
      </c>
      <c r="T69" s="9">
        <f>T76-T66-T67-T68</f>
        <v>-433000</v>
      </c>
      <c r="U69" s="9">
        <f t="shared" ref="U69:V69" si="154">U76-U66-U67-U68</f>
        <v>-453496.12999999995</v>
      </c>
      <c r="V69" s="9">
        <f t="shared" si="154"/>
        <v>2878407.5637999992</v>
      </c>
      <c r="W69" s="9">
        <f t="shared" ref="W69:AD69" si="155">W76-W66-W67-W68</f>
        <v>20000</v>
      </c>
      <c r="X69" s="9">
        <f t="shared" si="155"/>
        <v>0</v>
      </c>
      <c r="Y69" s="9">
        <f t="shared" si="155"/>
        <v>0</v>
      </c>
      <c r="Z69" s="9">
        <f t="shared" si="155"/>
        <v>0</v>
      </c>
      <c r="AA69" s="9"/>
      <c r="AB69" s="9"/>
      <c r="AC69" s="9"/>
      <c r="AD69" s="66">
        <f t="shared" si="155"/>
        <v>20000</v>
      </c>
      <c r="AE69" s="9">
        <f t="shared" ref="AE69:AF69" si="156">AE76-AE66-AE67-AE68</f>
        <v>0</v>
      </c>
      <c r="AF69" s="9">
        <f t="shared" si="156"/>
        <v>2878407.5637999992</v>
      </c>
      <c r="AG69" s="9">
        <f t="shared" ref="AG69:AW69" si="157">AG76-AG66-AG67-AG68</f>
        <v>15000</v>
      </c>
      <c r="AH69" s="9">
        <f t="shared" si="157"/>
        <v>0</v>
      </c>
      <c r="AI69" s="9">
        <f t="shared" si="157"/>
        <v>0</v>
      </c>
      <c r="AJ69" s="9">
        <f t="shared" si="157"/>
        <v>0</v>
      </c>
      <c r="AK69" s="9">
        <f t="shared" si="157"/>
        <v>0</v>
      </c>
      <c r="AL69" s="9">
        <f t="shared" si="157"/>
        <v>0</v>
      </c>
      <c r="AM69" s="9">
        <f t="shared" si="157"/>
        <v>0</v>
      </c>
      <c r="AN69" s="9">
        <f t="shared" si="157"/>
        <v>0</v>
      </c>
      <c r="AO69" s="66">
        <f t="shared" si="157"/>
        <v>15000</v>
      </c>
      <c r="AP69" s="66">
        <f t="shared" si="157"/>
        <v>0</v>
      </c>
      <c r="AQ69" s="66">
        <f t="shared" si="157"/>
        <v>15000</v>
      </c>
      <c r="AR69" s="9">
        <f t="shared" si="157"/>
        <v>-855</v>
      </c>
      <c r="AS69" s="9">
        <f t="shared" si="157"/>
        <v>0</v>
      </c>
      <c r="AT69" s="9">
        <f t="shared" si="157"/>
        <v>0</v>
      </c>
      <c r="AU69" s="9">
        <f t="shared" si="157"/>
        <v>0</v>
      </c>
      <c r="AV69" s="9">
        <f t="shared" si="157"/>
        <v>0</v>
      </c>
      <c r="AW69" s="9">
        <f t="shared" si="157"/>
        <v>2892552.5637999992</v>
      </c>
      <c r="AX69" s="10" t="s">
        <v>32</v>
      </c>
      <c r="AY69" s="23">
        <v>2911752.7437999994</v>
      </c>
      <c r="AZ69" s="23">
        <f t="shared" si="7"/>
        <v>-19200.180000000168</v>
      </c>
    </row>
    <row r="70" spans="1:53" s="5" customFormat="1" ht="14.45" customHeight="1">
      <c r="A70" s="160"/>
      <c r="B70" s="154"/>
      <c r="C70" s="155"/>
      <c r="D70" s="7" t="s">
        <v>21</v>
      </c>
      <c r="E70" s="7"/>
      <c r="F70" s="8" t="s">
        <v>34</v>
      </c>
      <c r="G70" s="7">
        <v>116375</v>
      </c>
      <c r="H70" s="9">
        <f t="shared" ref="H70" si="158">SUM(H66:H69)</f>
        <v>5172786.7199999988</v>
      </c>
      <c r="I70" s="9">
        <f t="shared" ref="I70:N70" si="159">SUM(I66:I69)</f>
        <v>4396000</v>
      </c>
      <c r="J70" s="9">
        <f t="shared" si="159"/>
        <v>367000</v>
      </c>
      <c r="K70" s="9">
        <f t="shared" si="159"/>
        <v>8000</v>
      </c>
      <c r="L70" s="9">
        <f t="shared" si="159"/>
        <v>73999.666666666744</v>
      </c>
      <c r="M70" s="9">
        <f t="shared" si="159"/>
        <v>4844999.666666666</v>
      </c>
      <c r="N70" s="9">
        <f t="shared" si="159"/>
        <v>4817890.59</v>
      </c>
      <c r="O70" s="9">
        <f t="shared" ref="O70:S70" si="160">SUM(O66:O69)</f>
        <v>9990677.3099999987</v>
      </c>
      <c r="P70" s="9">
        <f t="shared" si="160"/>
        <v>21000</v>
      </c>
      <c r="Q70" s="9">
        <f t="shared" si="160"/>
        <v>0</v>
      </c>
      <c r="R70" s="9">
        <f t="shared" si="160"/>
        <v>0</v>
      </c>
      <c r="S70" s="9">
        <f t="shared" si="160"/>
        <v>0</v>
      </c>
      <c r="T70" s="9">
        <f>SUM(T66:T69)</f>
        <v>21000</v>
      </c>
      <c r="U70" s="9">
        <f t="shared" ref="U70:V70" si="161">SUM(U66:U69)</f>
        <v>569.8300000000163</v>
      </c>
      <c r="V70" s="9">
        <f t="shared" si="161"/>
        <v>9991247.1399999987</v>
      </c>
      <c r="W70" s="9">
        <f t="shared" ref="W70:AD70" si="162">SUM(W66:W69)</f>
        <v>20000</v>
      </c>
      <c r="X70" s="9">
        <f t="shared" si="162"/>
        <v>0</v>
      </c>
      <c r="Y70" s="9">
        <f t="shared" si="162"/>
        <v>0</v>
      </c>
      <c r="Z70" s="9">
        <f t="shared" si="162"/>
        <v>0</v>
      </c>
      <c r="AA70" s="9"/>
      <c r="AB70" s="9"/>
      <c r="AC70" s="9"/>
      <c r="AD70" s="66">
        <f t="shared" si="162"/>
        <v>20000</v>
      </c>
      <c r="AE70" s="9">
        <f t="shared" ref="AE70:AF70" si="163">SUM(AE66:AE69)</f>
        <v>0</v>
      </c>
      <c r="AF70" s="9">
        <f t="shared" si="163"/>
        <v>9991247.1399999987</v>
      </c>
      <c r="AG70" s="9">
        <f t="shared" ref="AG70:AW70" si="164">SUM(AG66:AG69)</f>
        <v>15000</v>
      </c>
      <c r="AH70" s="9">
        <f t="shared" si="164"/>
        <v>0</v>
      </c>
      <c r="AI70" s="9">
        <f t="shared" si="164"/>
        <v>0</v>
      </c>
      <c r="AJ70" s="9">
        <f t="shared" si="164"/>
        <v>0</v>
      </c>
      <c r="AK70" s="9">
        <f t="shared" si="164"/>
        <v>0</v>
      </c>
      <c r="AL70" s="9">
        <f t="shared" si="164"/>
        <v>0</v>
      </c>
      <c r="AM70" s="9">
        <f t="shared" si="164"/>
        <v>0</v>
      </c>
      <c r="AN70" s="9">
        <f t="shared" si="164"/>
        <v>0</v>
      </c>
      <c r="AO70" s="66">
        <f t="shared" si="164"/>
        <v>15000</v>
      </c>
      <c r="AP70" s="66">
        <f t="shared" si="164"/>
        <v>0</v>
      </c>
      <c r="AQ70" s="66">
        <f t="shared" si="164"/>
        <v>15000</v>
      </c>
      <c r="AR70" s="9">
        <f t="shared" si="164"/>
        <v>-855</v>
      </c>
      <c r="AS70" s="9">
        <f t="shared" si="164"/>
        <v>0</v>
      </c>
      <c r="AT70" s="9">
        <f t="shared" si="164"/>
        <v>0</v>
      </c>
      <c r="AU70" s="9">
        <f t="shared" si="164"/>
        <v>0</v>
      </c>
      <c r="AV70" s="9">
        <f t="shared" si="164"/>
        <v>0</v>
      </c>
      <c r="AW70" s="9">
        <f t="shared" si="164"/>
        <v>10005392.139999999</v>
      </c>
      <c r="AX70" s="10" t="s">
        <v>32</v>
      </c>
      <c r="AY70" s="5">
        <v>10024592.309999999</v>
      </c>
      <c r="AZ70" s="5">
        <f t="shared" si="7"/>
        <v>-19200.169999999925</v>
      </c>
    </row>
    <row r="71" spans="1:53" s="4" customFormat="1" ht="30">
      <c r="A71" s="160"/>
      <c r="B71" s="154"/>
      <c r="C71" s="155"/>
      <c r="D71" s="25" t="s">
        <v>22</v>
      </c>
      <c r="E71" s="25">
        <v>580101</v>
      </c>
      <c r="F71" s="37" t="s">
        <v>41</v>
      </c>
      <c r="G71" s="25">
        <v>116375</v>
      </c>
      <c r="H71" s="26">
        <f>SUM(H72:H73)</f>
        <v>587948.6259999997</v>
      </c>
      <c r="I71" s="26">
        <f t="shared" ref="I71:T71" si="165">SUM(I72:I73)</f>
        <v>451700</v>
      </c>
      <c r="J71" s="26">
        <f t="shared" si="165"/>
        <v>50000</v>
      </c>
      <c r="K71" s="26">
        <f t="shared" si="165"/>
        <v>1000</v>
      </c>
      <c r="L71" s="26">
        <f t="shared" si="165"/>
        <v>10299.666666666666</v>
      </c>
      <c r="M71" s="26">
        <f>SUM(M72:M73)</f>
        <v>512999.66666666669</v>
      </c>
      <c r="N71" s="26">
        <f>SUM(N72:N73)</f>
        <v>508369.79000000004</v>
      </c>
      <c r="O71" s="26">
        <f t="shared" ref="O71:Z71" si="166">SUM(O72:O73)</f>
        <v>1096318.4159999997</v>
      </c>
      <c r="P71" s="26">
        <f t="shared" si="166"/>
        <v>0</v>
      </c>
      <c r="Q71" s="26">
        <f t="shared" si="166"/>
        <v>0</v>
      </c>
      <c r="R71" s="26">
        <f t="shared" si="166"/>
        <v>0</v>
      </c>
      <c r="S71" s="26">
        <f t="shared" si="166"/>
        <v>0</v>
      </c>
      <c r="T71" s="26">
        <f t="shared" si="165"/>
        <v>0</v>
      </c>
      <c r="U71" s="26">
        <f t="shared" si="166"/>
        <v>0</v>
      </c>
      <c r="V71" s="26">
        <f t="shared" si="166"/>
        <v>1096318.4159999997</v>
      </c>
      <c r="W71" s="26">
        <f t="shared" si="166"/>
        <v>0</v>
      </c>
      <c r="X71" s="26">
        <f t="shared" si="166"/>
        <v>0</v>
      </c>
      <c r="Y71" s="26">
        <f t="shared" si="166"/>
        <v>0</v>
      </c>
      <c r="Z71" s="26">
        <f t="shared" si="166"/>
        <v>0</v>
      </c>
      <c r="AA71" s="26"/>
      <c r="AB71" s="26"/>
      <c r="AC71" s="26"/>
      <c r="AD71" s="67">
        <f t="shared" si="116"/>
        <v>0</v>
      </c>
      <c r="AE71" s="26">
        <f t="shared" ref="AE71:AF71" si="167">SUM(AE72:AE73)</f>
        <v>0</v>
      </c>
      <c r="AF71" s="26">
        <f t="shared" si="167"/>
        <v>1096318.4159999997</v>
      </c>
      <c r="AG71" s="26">
        <f t="shared" ref="AG71:AW71" si="168">SUM(AG72:AG73)</f>
        <v>0</v>
      </c>
      <c r="AH71" s="26">
        <f t="shared" si="168"/>
        <v>0</v>
      </c>
      <c r="AI71" s="26">
        <f t="shared" si="168"/>
        <v>0</v>
      </c>
      <c r="AJ71" s="26">
        <f t="shared" si="168"/>
        <v>0</v>
      </c>
      <c r="AK71" s="26">
        <f t="shared" si="168"/>
        <v>0</v>
      </c>
      <c r="AL71" s="26">
        <f t="shared" si="168"/>
        <v>0</v>
      </c>
      <c r="AM71" s="26">
        <f t="shared" si="168"/>
        <v>0</v>
      </c>
      <c r="AN71" s="26">
        <f t="shared" si="168"/>
        <v>0</v>
      </c>
      <c r="AO71" s="67">
        <f t="shared" si="168"/>
        <v>0</v>
      </c>
      <c r="AP71" s="67">
        <f t="shared" si="168"/>
        <v>0</v>
      </c>
      <c r="AQ71" s="67">
        <f t="shared" si="168"/>
        <v>0</v>
      </c>
      <c r="AR71" s="26">
        <f t="shared" si="168"/>
        <v>0</v>
      </c>
      <c r="AS71" s="26">
        <f t="shared" si="168"/>
        <v>0</v>
      </c>
      <c r="AT71" s="26">
        <f t="shared" si="168"/>
        <v>0</v>
      </c>
      <c r="AU71" s="26">
        <f t="shared" si="168"/>
        <v>0</v>
      </c>
      <c r="AV71" s="26">
        <f t="shared" si="168"/>
        <v>0</v>
      </c>
      <c r="AW71" s="26">
        <f t="shared" si="168"/>
        <v>1096318.4159999997</v>
      </c>
      <c r="AX71" s="14" t="s">
        <v>32</v>
      </c>
      <c r="AY71" s="4">
        <v>1096318.4159999997</v>
      </c>
      <c r="AZ71" s="41">
        <f t="shared" si="7"/>
        <v>0</v>
      </c>
    </row>
    <row r="72" spans="1:53" s="4" customFormat="1">
      <c r="A72" s="160"/>
      <c r="B72" s="154"/>
      <c r="C72" s="155"/>
      <c r="D72" s="25"/>
      <c r="E72" s="25"/>
      <c r="F72" s="37" t="s">
        <v>23</v>
      </c>
      <c r="G72" s="25">
        <v>116375</v>
      </c>
      <c r="H72" s="26">
        <f>74345.9594666667+4047.19066666667</f>
        <v>78393.150133333373</v>
      </c>
      <c r="I72" s="26">
        <v>60227</v>
      </c>
      <c r="J72" s="26">
        <v>6666.666666666667</v>
      </c>
      <c r="K72" s="26">
        <v>133.33333333333334</v>
      </c>
      <c r="L72" s="26">
        <v>1633</v>
      </c>
      <c r="M72" s="26">
        <f>SUM(I72:L72)</f>
        <v>68660</v>
      </c>
      <c r="N72" s="26">
        <f>508369.79*100/15*2%</f>
        <v>67782.638666666666</v>
      </c>
      <c r="O72" s="26">
        <f t="shared" ref="O72:O75" si="169">H72+N72</f>
        <v>146175.78880000004</v>
      </c>
      <c r="P72" s="26"/>
      <c r="Q72" s="26"/>
      <c r="R72" s="26"/>
      <c r="S72" s="26"/>
      <c r="T72" s="26">
        <f t="shared" ref="T72:T75" si="170">SUM(P72:S72)</f>
        <v>0</v>
      </c>
      <c r="U72" s="26"/>
      <c r="V72" s="26">
        <f t="shared" ref="V72:V74" si="171">O72+U72</f>
        <v>146175.78880000004</v>
      </c>
      <c r="W72" s="26"/>
      <c r="X72" s="26"/>
      <c r="Y72" s="26"/>
      <c r="Z72" s="26"/>
      <c r="AA72" s="26"/>
      <c r="AB72" s="26"/>
      <c r="AC72" s="26"/>
      <c r="AD72" s="67">
        <f t="shared" si="116"/>
        <v>0</v>
      </c>
      <c r="AE72" s="26"/>
      <c r="AF72" s="26">
        <f t="shared" ref="AF72:AF75" si="172">V72+AE72</f>
        <v>146175.78880000004</v>
      </c>
      <c r="AG72" s="26"/>
      <c r="AH72" s="26"/>
      <c r="AI72" s="26"/>
      <c r="AJ72" s="26"/>
      <c r="AK72" s="26"/>
      <c r="AL72" s="26"/>
      <c r="AM72" s="26"/>
      <c r="AN72" s="26"/>
      <c r="AO72" s="67">
        <f t="shared" si="118"/>
        <v>0</v>
      </c>
      <c r="AP72" s="67">
        <f t="shared" si="119"/>
        <v>0</v>
      </c>
      <c r="AQ72" s="67">
        <f t="shared" si="120"/>
        <v>0</v>
      </c>
      <c r="AR72" s="26"/>
      <c r="AS72" s="26"/>
      <c r="AT72" s="26"/>
      <c r="AU72" s="26"/>
      <c r="AV72" s="26"/>
      <c r="AW72" s="26">
        <f t="shared" si="121"/>
        <v>146175.78880000004</v>
      </c>
      <c r="AX72" s="14" t="s">
        <v>32</v>
      </c>
      <c r="AY72" s="4">
        <v>146175.78880000004</v>
      </c>
      <c r="AZ72" s="41">
        <f t="shared" si="7"/>
        <v>0</v>
      </c>
    </row>
    <row r="73" spans="1:53" s="4" customFormat="1">
      <c r="A73" s="160"/>
      <c r="B73" s="154"/>
      <c r="C73" s="155"/>
      <c r="D73" s="25"/>
      <c r="E73" s="25"/>
      <c r="F73" s="37" t="s">
        <v>42</v>
      </c>
      <c r="G73" s="25">
        <v>116375</v>
      </c>
      <c r="H73" s="26">
        <f>483248.736533333+26306.7393333333</f>
        <v>509555.4758666663</v>
      </c>
      <c r="I73" s="26">
        <v>391473</v>
      </c>
      <c r="J73" s="26">
        <v>43333.333333333336</v>
      </c>
      <c r="K73" s="26">
        <v>866.66666666666663</v>
      </c>
      <c r="L73" s="26">
        <v>8666.6666666666661</v>
      </c>
      <c r="M73" s="26">
        <f t="shared" ref="M73:M75" si="173">SUM(I73:L73)</f>
        <v>444339.66666666669</v>
      </c>
      <c r="N73" s="26">
        <f>508369.79*100/15*13%</f>
        <v>440587.15133333334</v>
      </c>
      <c r="O73" s="26">
        <f t="shared" si="169"/>
        <v>950142.62719999964</v>
      </c>
      <c r="P73" s="26"/>
      <c r="Q73" s="26"/>
      <c r="R73" s="26"/>
      <c r="S73" s="26"/>
      <c r="T73" s="26">
        <f t="shared" si="170"/>
        <v>0</v>
      </c>
      <c r="U73" s="26"/>
      <c r="V73" s="26">
        <f t="shared" si="171"/>
        <v>950142.62719999964</v>
      </c>
      <c r="W73" s="26"/>
      <c r="X73" s="26"/>
      <c r="Y73" s="26"/>
      <c r="Z73" s="26"/>
      <c r="AA73" s="26"/>
      <c r="AB73" s="26"/>
      <c r="AC73" s="26"/>
      <c r="AD73" s="67">
        <f t="shared" si="116"/>
        <v>0</v>
      </c>
      <c r="AE73" s="26"/>
      <c r="AF73" s="26">
        <f t="shared" si="172"/>
        <v>950142.62719999964</v>
      </c>
      <c r="AG73" s="26"/>
      <c r="AH73" s="26"/>
      <c r="AI73" s="26"/>
      <c r="AJ73" s="26"/>
      <c r="AK73" s="26"/>
      <c r="AL73" s="26"/>
      <c r="AM73" s="26"/>
      <c r="AN73" s="26"/>
      <c r="AO73" s="67">
        <f t="shared" si="118"/>
        <v>0</v>
      </c>
      <c r="AP73" s="67">
        <f t="shared" si="119"/>
        <v>0</v>
      </c>
      <c r="AQ73" s="67">
        <f t="shared" si="120"/>
        <v>0</v>
      </c>
      <c r="AR73" s="26"/>
      <c r="AS73" s="26"/>
      <c r="AT73" s="26"/>
      <c r="AU73" s="26"/>
      <c r="AV73" s="26"/>
      <c r="AW73" s="26">
        <f t="shared" si="121"/>
        <v>950142.62719999964</v>
      </c>
      <c r="AX73" s="14" t="s">
        <v>32</v>
      </c>
      <c r="AY73" s="4">
        <v>950142.62719999964</v>
      </c>
      <c r="AZ73" s="41">
        <f t="shared" si="7"/>
        <v>0</v>
      </c>
    </row>
    <row r="74" spans="1:53" s="4" customFormat="1" ht="30">
      <c r="A74" s="160"/>
      <c r="B74" s="154"/>
      <c r="C74" s="155"/>
      <c r="D74" s="25" t="s">
        <v>22</v>
      </c>
      <c r="E74" s="25">
        <v>580102</v>
      </c>
      <c r="F74" s="37" t="s">
        <v>31</v>
      </c>
      <c r="G74" s="25">
        <v>116375</v>
      </c>
      <c r="H74" s="26">
        <f>3159703.144+172005.59</f>
        <v>3331708.7339999997</v>
      </c>
      <c r="I74" s="26">
        <v>2560300</v>
      </c>
      <c r="J74" s="26">
        <f>331477.747368*85%-839.606938975863+83.5216761758784</f>
        <v>281000</v>
      </c>
      <c r="K74" s="26">
        <f>3962.694*85%-83.5216761758784+715.231776175879</f>
        <v>4000.0000000000005</v>
      </c>
      <c r="L74" s="26">
        <v>56700</v>
      </c>
      <c r="M74" s="26">
        <f t="shared" si="173"/>
        <v>2902000</v>
      </c>
      <c r="N74" s="26">
        <v>2880762.09</v>
      </c>
      <c r="O74" s="26">
        <f t="shared" si="169"/>
        <v>6212470.8239999991</v>
      </c>
      <c r="P74" s="26"/>
      <c r="Q74" s="26"/>
      <c r="R74" s="26"/>
      <c r="S74" s="26"/>
      <c r="T74" s="26">
        <f t="shared" si="170"/>
        <v>0</v>
      </c>
      <c r="U74" s="26"/>
      <c r="V74" s="26">
        <f t="shared" si="171"/>
        <v>6212470.8239999991</v>
      </c>
      <c r="W74" s="26"/>
      <c r="X74" s="26"/>
      <c r="Y74" s="26"/>
      <c r="Z74" s="26"/>
      <c r="AA74" s="26"/>
      <c r="AB74" s="26"/>
      <c r="AC74" s="26"/>
      <c r="AD74" s="67">
        <f t="shared" si="116"/>
        <v>0</v>
      </c>
      <c r="AE74" s="26"/>
      <c r="AF74" s="26">
        <f t="shared" si="172"/>
        <v>6212470.8239999991</v>
      </c>
      <c r="AG74" s="26"/>
      <c r="AH74" s="26"/>
      <c r="AI74" s="26"/>
      <c r="AJ74" s="26"/>
      <c r="AK74" s="26"/>
      <c r="AL74" s="26"/>
      <c r="AM74" s="26"/>
      <c r="AN74" s="26"/>
      <c r="AO74" s="67">
        <f t="shared" si="118"/>
        <v>0</v>
      </c>
      <c r="AP74" s="67">
        <f t="shared" si="119"/>
        <v>0</v>
      </c>
      <c r="AQ74" s="67">
        <f t="shared" si="120"/>
        <v>0</v>
      </c>
      <c r="AR74" s="26"/>
      <c r="AS74" s="26"/>
      <c r="AT74" s="26"/>
      <c r="AU74" s="26"/>
      <c r="AV74" s="26"/>
      <c r="AW74" s="26">
        <f t="shared" si="121"/>
        <v>6212470.8239999991</v>
      </c>
      <c r="AX74" s="14" t="s">
        <v>32</v>
      </c>
      <c r="AY74" s="4">
        <v>6212470.8239999991</v>
      </c>
      <c r="AZ74" s="41">
        <f t="shared" si="7"/>
        <v>0</v>
      </c>
    </row>
    <row r="75" spans="1:53" s="4" customFormat="1">
      <c r="A75" s="160"/>
      <c r="B75" s="154"/>
      <c r="C75" s="155"/>
      <c r="D75" s="25" t="s">
        <v>22</v>
      </c>
      <c r="E75" s="25">
        <v>580103</v>
      </c>
      <c r="F75" s="37" t="s">
        <v>28</v>
      </c>
      <c r="G75" s="25">
        <v>116375</v>
      </c>
      <c r="H75" s="26">
        <v>1253129.3599999999</v>
      </c>
      <c r="I75" s="26">
        <v>1384000</v>
      </c>
      <c r="J75" s="26">
        <f>36691.1382-988.758600000059+297.620400000058</f>
        <v>36000</v>
      </c>
      <c r="K75" s="26">
        <f>3177.32-297.620400000058+120.300400000058</f>
        <v>3000</v>
      </c>
      <c r="L75" s="26">
        <f>6544.98-120.300400000058+575.320400000059</f>
        <v>7000</v>
      </c>
      <c r="M75" s="26">
        <f t="shared" si="173"/>
        <v>1430000</v>
      </c>
      <c r="N75" s="26">
        <v>1428758.71</v>
      </c>
      <c r="O75" s="26">
        <f t="shared" si="169"/>
        <v>2681888.0699999998</v>
      </c>
      <c r="P75" s="26">
        <f>20230+770</f>
        <v>21000</v>
      </c>
      <c r="Q75" s="26"/>
      <c r="R75" s="26"/>
      <c r="S75" s="26"/>
      <c r="T75" s="26">
        <f t="shared" si="170"/>
        <v>21000</v>
      </c>
      <c r="U75" s="26">
        <v>569.83000000000004</v>
      </c>
      <c r="V75" s="26">
        <f>O75+U75</f>
        <v>2682457.9</v>
      </c>
      <c r="W75" s="26">
        <f>19635+365</f>
        <v>20000</v>
      </c>
      <c r="X75" s="26"/>
      <c r="Y75" s="26"/>
      <c r="Z75" s="26"/>
      <c r="AA75" s="26"/>
      <c r="AB75" s="26"/>
      <c r="AC75" s="26"/>
      <c r="AD75" s="67">
        <f>SUM(W75:Z75)</f>
        <v>20000</v>
      </c>
      <c r="AE75" s="26">
        <v>0</v>
      </c>
      <c r="AF75" s="26">
        <f t="shared" si="172"/>
        <v>2682457.9</v>
      </c>
      <c r="AG75" s="26">
        <f>14145+855</f>
        <v>15000</v>
      </c>
      <c r="AH75" s="26"/>
      <c r="AI75" s="26"/>
      <c r="AJ75" s="26"/>
      <c r="AK75" s="26"/>
      <c r="AL75" s="26"/>
      <c r="AM75" s="26"/>
      <c r="AN75" s="26"/>
      <c r="AO75" s="67">
        <f t="shared" si="118"/>
        <v>15000</v>
      </c>
      <c r="AP75" s="67">
        <f t="shared" si="119"/>
        <v>0</v>
      </c>
      <c r="AQ75" s="67">
        <f t="shared" si="120"/>
        <v>15000</v>
      </c>
      <c r="AR75" s="26">
        <v>-855</v>
      </c>
      <c r="AS75" s="26"/>
      <c r="AT75" s="26"/>
      <c r="AU75" s="26"/>
      <c r="AV75" s="26"/>
      <c r="AW75" s="26">
        <f t="shared" si="121"/>
        <v>2696602.9</v>
      </c>
      <c r="AX75" s="14" t="s">
        <v>32</v>
      </c>
      <c r="AY75" s="41">
        <v>2715803.07</v>
      </c>
      <c r="AZ75" s="41">
        <f t="shared" si="7"/>
        <v>-19200.169999999925</v>
      </c>
      <c r="BA75" s="41"/>
    </row>
    <row r="76" spans="1:53" s="4" customFormat="1">
      <c r="A76" s="160"/>
      <c r="B76" s="154"/>
      <c r="C76" s="155"/>
      <c r="D76" s="25" t="s">
        <v>22</v>
      </c>
      <c r="E76" s="14"/>
      <c r="F76" s="37" t="s">
        <v>29</v>
      </c>
      <c r="G76" s="25">
        <v>116375</v>
      </c>
      <c r="H76" s="26">
        <f>H71+H74+H75</f>
        <v>5172786.7199999988</v>
      </c>
      <c r="I76" s="26">
        <f t="shared" ref="I76:U76" si="174">I71+I74+I75</f>
        <v>4396000</v>
      </c>
      <c r="J76" s="26">
        <f t="shared" si="174"/>
        <v>367000</v>
      </c>
      <c r="K76" s="26">
        <f t="shared" si="174"/>
        <v>8000</v>
      </c>
      <c r="L76" s="26">
        <f t="shared" si="174"/>
        <v>73999.666666666672</v>
      </c>
      <c r="M76" s="26">
        <f t="shared" si="174"/>
        <v>4844999.666666666</v>
      </c>
      <c r="N76" s="26">
        <f t="shared" si="174"/>
        <v>4817890.59</v>
      </c>
      <c r="O76" s="26">
        <f t="shared" si="174"/>
        <v>9990677.3099999987</v>
      </c>
      <c r="P76" s="26">
        <f t="shared" si="174"/>
        <v>21000</v>
      </c>
      <c r="Q76" s="26">
        <f t="shared" si="174"/>
        <v>0</v>
      </c>
      <c r="R76" s="26">
        <f t="shared" si="174"/>
        <v>0</v>
      </c>
      <c r="S76" s="26">
        <f t="shared" si="174"/>
        <v>0</v>
      </c>
      <c r="T76" s="26">
        <f t="shared" si="174"/>
        <v>21000</v>
      </c>
      <c r="U76" s="26">
        <f t="shared" si="174"/>
        <v>569.83000000000004</v>
      </c>
      <c r="V76" s="26">
        <f>V71+V74+V75</f>
        <v>9991247.1399999987</v>
      </c>
      <c r="W76" s="26">
        <f t="shared" ref="W76:AW76" si="175">W71+W74+W75</f>
        <v>20000</v>
      </c>
      <c r="X76" s="26">
        <f t="shared" si="175"/>
        <v>0</v>
      </c>
      <c r="Y76" s="26">
        <f t="shared" si="175"/>
        <v>0</v>
      </c>
      <c r="Z76" s="26">
        <f t="shared" si="175"/>
        <v>0</v>
      </c>
      <c r="AA76" s="26"/>
      <c r="AB76" s="26"/>
      <c r="AC76" s="26"/>
      <c r="AD76" s="67">
        <f t="shared" si="175"/>
        <v>20000</v>
      </c>
      <c r="AE76" s="26">
        <f t="shared" si="175"/>
        <v>0</v>
      </c>
      <c r="AF76" s="26">
        <f t="shared" si="175"/>
        <v>9991247.1399999987</v>
      </c>
      <c r="AG76" s="26">
        <f t="shared" si="175"/>
        <v>15000</v>
      </c>
      <c r="AH76" s="26">
        <f t="shared" si="175"/>
        <v>0</v>
      </c>
      <c r="AI76" s="26">
        <f t="shared" si="175"/>
        <v>0</v>
      </c>
      <c r="AJ76" s="26">
        <f t="shared" si="175"/>
        <v>0</v>
      </c>
      <c r="AK76" s="26">
        <f t="shared" si="175"/>
        <v>0</v>
      </c>
      <c r="AL76" s="26">
        <f t="shared" si="175"/>
        <v>0</v>
      </c>
      <c r="AM76" s="26">
        <f t="shared" si="175"/>
        <v>0</v>
      </c>
      <c r="AN76" s="26">
        <f t="shared" si="175"/>
        <v>0</v>
      </c>
      <c r="AO76" s="67">
        <f t="shared" si="175"/>
        <v>15000</v>
      </c>
      <c r="AP76" s="67">
        <f t="shared" si="175"/>
        <v>0</v>
      </c>
      <c r="AQ76" s="67">
        <f t="shared" si="175"/>
        <v>15000</v>
      </c>
      <c r="AR76" s="26">
        <f t="shared" si="175"/>
        <v>-855</v>
      </c>
      <c r="AS76" s="26">
        <f t="shared" si="175"/>
        <v>0</v>
      </c>
      <c r="AT76" s="26">
        <f t="shared" si="175"/>
        <v>0</v>
      </c>
      <c r="AU76" s="26">
        <f t="shared" si="175"/>
        <v>0</v>
      </c>
      <c r="AV76" s="26">
        <f t="shared" si="175"/>
        <v>0</v>
      </c>
      <c r="AW76" s="26">
        <f t="shared" si="175"/>
        <v>10005392.139999999</v>
      </c>
      <c r="AX76" s="14" t="s">
        <v>32</v>
      </c>
      <c r="AY76" s="4">
        <v>10024592.309999999</v>
      </c>
      <c r="AZ76" s="4">
        <f t="shared" si="7"/>
        <v>-19200.169999999925</v>
      </c>
    </row>
    <row r="77" spans="1:53" s="42" customFormat="1">
      <c r="A77" s="160"/>
      <c r="B77" s="154"/>
      <c r="C77" s="155"/>
      <c r="D77" s="28" t="s">
        <v>22</v>
      </c>
      <c r="E77" s="27"/>
      <c r="F77" s="29" t="s">
        <v>40</v>
      </c>
      <c r="G77" s="28"/>
      <c r="H77" s="30"/>
      <c r="I77" s="30">
        <v>14000</v>
      </c>
      <c r="J77" s="30"/>
      <c r="K77" s="30"/>
      <c r="L77" s="30"/>
      <c r="M77" s="30">
        <f t="shared" ref="M77:M122" si="176">SUM(I77:L77)</f>
        <v>14000</v>
      </c>
      <c r="N77" s="30">
        <v>10649.31</v>
      </c>
      <c r="O77" s="30"/>
      <c r="P77" s="30">
        <v>7000</v>
      </c>
      <c r="Q77" s="30">
        <v>1000</v>
      </c>
      <c r="R77" s="30">
        <v>10000</v>
      </c>
      <c r="S77" s="30"/>
      <c r="T77" s="30">
        <f>SUM(P77:S77)</f>
        <v>18000</v>
      </c>
      <c r="U77" s="30">
        <v>10554.94</v>
      </c>
      <c r="V77" s="30"/>
      <c r="W77" s="30"/>
      <c r="X77" s="30"/>
      <c r="Y77" s="30"/>
      <c r="Z77" s="30"/>
      <c r="AA77" s="30"/>
      <c r="AB77" s="30"/>
      <c r="AC77" s="30"/>
      <c r="AD77" s="68">
        <f t="shared" si="116"/>
        <v>0</v>
      </c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68">
        <f t="shared" si="118"/>
        <v>0</v>
      </c>
      <c r="AP77" s="68">
        <f t="shared" si="119"/>
        <v>0</v>
      </c>
      <c r="AQ77" s="68">
        <f t="shared" si="120"/>
        <v>0</v>
      </c>
      <c r="AR77" s="30"/>
      <c r="AS77" s="30"/>
      <c r="AT77" s="30"/>
      <c r="AU77" s="30"/>
      <c r="AV77" s="30"/>
      <c r="AW77" s="30">
        <f t="shared" si="121"/>
        <v>0</v>
      </c>
      <c r="AX77" s="27"/>
      <c r="AZ77" s="42">
        <f t="shared" ref="AZ77:AZ123" si="177">AW77-AY77</f>
        <v>0</v>
      </c>
    </row>
    <row r="78" spans="1:53" s="23" customFormat="1">
      <c r="A78" s="148"/>
      <c r="B78" s="133"/>
      <c r="C78" s="150"/>
      <c r="D78" s="7"/>
      <c r="E78" s="7"/>
      <c r="F78" s="8"/>
      <c r="G78" s="7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66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66">
        <f t="shared" si="118"/>
        <v>0</v>
      </c>
      <c r="AP78" s="66">
        <f t="shared" si="119"/>
        <v>0</v>
      </c>
      <c r="AQ78" s="66">
        <f t="shared" si="120"/>
        <v>0</v>
      </c>
      <c r="AR78" s="9"/>
      <c r="AS78" s="9"/>
      <c r="AT78" s="9"/>
      <c r="AU78" s="9"/>
      <c r="AV78" s="9"/>
      <c r="AW78" s="9">
        <f t="shared" si="121"/>
        <v>0</v>
      </c>
      <c r="AX78" s="10"/>
    </row>
    <row r="79" spans="1:53" s="23" customFormat="1">
      <c r="A79" s="158"/>
      <c r="B79" s="159"/>
      <c r="C79" s="155"/>
      <c r="D79" s="7"/>
      <c r="E79" s="7"/>
      <c r="F79" s="8"/>
      <c r="G79" s="7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66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66">
        <f t="shared" si="118"/>
        <v>0</v>
      </c>
      <c r="AP79" s="66">
        <f t="shared" si="119"/>
        <v>0</v>
      </c>
      <c r="AQ79" s="66">
        <f t="shared" si="120"/>
        <v>0</v>
      </c>
      <c r="AR79" s="9"/>
      <c r="AS79" s="9"/>
      <c r="AT79" s="9"/>
      <c r="AU79" s="9"/>
      <c r="AV79" s="9"/>
      <c r="AW79" s="9">
        <f t="shared" si="121"/>
        <v>0</v>
      </c>
      <c r="AX79" s="10"/>
    </row>
    <row r="80" spans="1:53" s="23" customFormat="1">
      <c r="A80" s="158"/>
      <c r="B80" s="159"/>
      <c r="C80" s="155"/>
      <c r="D80" s="7"/>
      <c r="E80" s="7"/>
      <c r="F80" s="8"/>
      <c r="G80" s="7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66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66">
        <f t="shared" si="118"/>
        <v>0</v>
      </c>
      <c r="AP80" s="66">
        <f t="shared" si="119"/>
        <v>0</v>
      </c>
      <c r="AQ80" s="66">
        <f t="shared" si="120"/>
        <v>0</v>
      </c>
      <c r="AR80" s="9"/>
      <c r="AS80" s="9"/>
      <c r="AT80" s="9"/>
      <c r="AU80" s="9"/>
      <c r="AV80" s="9"/>
      <c r="AW80" s="9">
        <f t="shared" si="121"/>
        <v>0</v>
      </c>
      <c r="AX80" s="10"/>
    </row>
    <row r="81" spans="1:53" s="23" customFormat="1">
      <c r="A81" s="158"/>
      <c r="B81" s="159"/>
      <c r="C81" s="155"/>
      <c r="D81" s="7"/>
      <c r="E81" s="36"/>
      <c r="F81" s="7"/>
      <c r="G81" s="7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66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66">
        <f t="shared" si="118"/>
        <v>0</v>
      </c>
      <c r="AP81" s="66">
        <f t="shared" si="119"/>
        <v>0</v>
      </c>
      <c r="AQ81" s="66">
        <f t="shared" si="120"/>
        <v>0</v>
      </c>
      <c r="AR81" s="9"/>
      <c r="AS81" s="9"/>
      <c r="AT81" s="9"/>
      <c r="AU81" s="9"/>
      <c r="AV81" s="9"/>
      <c r="AW81" s="9">
        <f t="shared" si="121"/>
        <v>0</v>
      </c>
      <c r="AX81" s="10"/>
    </row>
    <row r="82" spans="1:53" s="5" customFormat="1" ht="14.45" customHeight="1">
      <c r="A82" s="158"/>
      <c r="B82" s="159"/>
      <c r="C82" s="155"/>
      <c r="D82" s="7"/>
      <c r="E82" s="7"/>
      <c r="F82" s="8"/>
      <c r="G82" s="7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66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66">
        <f t="shared" si="118"/>
        <v>0</v>
      </c>
      <c r="AP82" s="66">
        <f t="shared" si="119"/>
        <v>0</v>
      </c>
      <c r="AQ82" s="66">
        <f t="shared" si="120"/>
        <v>0</v>
      </c>
      <c r="AR82" s="9"/>
      <c r="AS82" s="9"/>
      <c r="AT82" s="9"/>
      <c r="AU82" s="9"/>
      <c r="AV82" s="9"/>
      <c r="AW82" s="9">
        <f t="shared" si="121"/>
        <v>0</v>
      </c>
      <c r="AX82" s="10"/>
    </row>
    <row r="83" spans="1:53" s="4" customFormat="1">
      <c r="A83" s="158"/>
      <c r="B83" s="159"/>
      <c r="C83" s="155"/>
      <c r="D83" s="25"/>
      <c r="E83" s="25"/>
      <c r="F83" s="37"/>
      <c r="G83" s="25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67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67">
        <f t="shared" si="118"/>
        <v>0</v>
      </c>
      <c r="AP83" s="67">
        <f t="shared" si="119"/>
        <v>0</v>
      </c>
      <c r="AQ83" s="67">
        <f t="shared" si="120"/>
        <v>0</v>
      </c>
      <c r="AR83" s="26"/>
      <c r="AS83" s="26"/>
      <c r="AT83" s="26"/>
      <c r="AU83" s="26"/>
      <c r="AV83" s="26"/>
      <c r="AW83" s="26">
        <f t="shared" si="121"/>
        <v>0</v>
      </c>
      <c r="AX83" s="14"/>
      <c r="AZ83" s="41"/>
    </row>
    <row r="84" spans="1:53" s="4" customFormat="1">
      <c r="A84" s="158"/>
      <c r="B84" s="159"/>
      <c r="C84" s="155"/>
      <c r="D84" s="25"/>
      <c r="E84" s="25"/>
      <c r="F84" s="37"/>
      <c r="G84" s="25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67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67">
        <f t="shared" si="118"/>
        <v>0</v>
      </c>
      <c r="AP84" s="67">
        <f t="shared" si="119"/>
        <v>0</v>
      </c>
      <c r="AQ84" s="67">
        <f t="shared" si="120"/>
        <v>0</v>
      </c>
      <c r="AR84" s="26"/>
      <c r="AS84" s="26"/>
      <c r="AT84" s="26"/>
      <c r="AU84" s="26"/>
      <c r="AV84" s="26"/>
      <c r="AW84" s="26">
        <f t="shared" si="121"/>
        <v>0</v>
      </c>
      <c r="AX84" s="14"/>
      <c r="AZ84" s="41"/>
    </row>
    <row r="85" spans="1:53" s="4" customFormat="1">
      <c r="A85" s="158"/>
      <c r="B85" s="159"/>
      <c r="C85" s="155"/>
      <c r="D85" s="25"/>
      <c r="E85" s="25"/>
      <c r="F85" s="37"/>
      <c r="G85" s="25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67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67">
        <f t="shared" si="118"/>
        <v>0</v>
      </c>
      <c r="AP85" s="67">
        <f t="shared" si="119"/>
        <v>0</v>
      </c>
      <c r="AQ85" s="67">
        <f t="shared" si="120"/>
        <v>0</v>
      </c>
      <c r="AR85" s="26"/>
      <c r="AS85" s="26"/>
      <c r="AT85" s="26"/>
      <c r="AU85" s="26"/>
      <c r="AV85" s="26"/>
      <c r="AW85" s="26">
        <f t="shared" si="121"/>
        <v>0</v>
      </c>
      <c r="AX85" s="14"/>
      <c r="AZ85" s="41"/>
    </row>
    <row r="86" spans="1:53" s="4" customFormat="1">
      <c r="A86" s="158"/>
      <c r="B86" s="159"/>
      <c r="C86" s="155"/>
      <c r="D86" s="25"/>
      <c r="E86" s="25"/>
      <c r="F86" s="37"/>
      <c r="G86" s="25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67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67">
        <f t="shared" si="118"/>
        <v>0</v>
      </c>
      <c r="AP86" s="67">
        <f t="shared" si="119"/>
        <v>0</v>
      </c>
      <c r="AQ86" s="67">
        <f t="shared" si="120"/>
        <v>0</v>
      </c>
      <c r="AR86" s="26"/>
      <c r="AS86" s="26"/>
      <c r="AT86" s="26"/>
      <c r="AU86" s="26"/>
      <c r="AV86" s="26"/>
      <c r="AW86" s="26">
        <f t="shared" si="121"/>
        <v>0</v>
      </c>
      <c r="AX86" s="14"/>
      <c r="AZ86" s="41"/>
    </row>
    <row r="87" spans="1:53" s="4" customFormat="1">
      <c r="A87" s="158"/>
      <c r="B87" s="159"/>
      <c r="C87" s="155"/>
      <c r="D87" s="25"/>
      <c r="E87" s="25"/>
      <c r="F87" s="37"/>
      <c r="G87" s="25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67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67">
        <f t="shared" si="118"/>
        <v>0</v>
      </c>
      <c r="AP87" s="67">
        <f t="shared" si="119"/>
        <v>0</v>
      </c>
      <c r="AQ87" s="67">
        <f t="shared" si="120"/>
        <v>0</v>
      </c>
      <c r="AR87" s="26"/>
      <c r="AS87" s="26"/>
      <c r="AT87" s="26"/>
      <c r="AU87" s="26"/>
      <c r="AV87" s="26"/>
      <c r="AW87" s="26">
        <f t="shared" si="121"/>
        <v>0</v>
      </c>
      <c r="AX87" s="14"/>
      <c r="AY87" s="41"/>
      <c r="AZ87" s="41"/>
      <c r="BA87" s="41"/>
    </row>
    <row r="88" spans="1:53" s="4" customFormat="1">
      <c r="A88" s="158"/>
      <c r="B88" s="159"/>
      <c r="C88" s="155"/>
      <c r="D88" s="25"/>
      <c r="E88" s="14"/>
      <c r="F88" s="37"/>
      <c r="G88" s="25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67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67">
        <f t="shared" si="118"/>
        <v>0</v>
      </c>
      <c r="AP88" s="67">
        <f t="shared" si="119"/>
        <v>0</v>
      </c>
      <c r="AQ88" s="67">
        <f t="shared" si="120"/>
        <v>0</v>
      </c>
      <c r="AR88" s="26"/>
      <c r="AS88" s="26"/>
      <c r="AT88" s="26"/>
      <c r="AU88" s="26"/>
      <c r="AV88" s="26"/>
      <c r="AW88" s="26">
        <f t="shared" si="121"/>
        <v>0</v>
      </c>
      <c r="AX88" s="14"/>
    </row>
    <row r="89" spans="1:53" s="23" customFormat="1">
      <c r="A89" s="148" t="s">
        <v>141</v>
      </c>
      <c r="B89" s="133" t="s">
        <v>54</v>
      </c>
      <c r="C89" s="150">
        <v>68</v>
      </c>
      <c r="D89" s="7" t="s">
        <v>21</v>
      </c>
      <c r="E89" s="7">
        <v>480202</v>
      </c>
      <c r="F89" s="8" t="s">
        <v>55</v>
      </c>
      <c r="G89" s="7">
        <v>128038</v>
      </c>
      <c r="H89" s="9">
        <f>64236.01+8573.78+47876.52</f>
        <v>120686.31</v>
      </c>
      <c r="I89" s="9">
        <f>102748+252</f>
        <v>103000</v>
      </c>
      <c r="J89" s="9">
        <f>110725-252+527</f>
        <v>111000</v>
      </c>
      <c r="K89" s="9">
        <f>18832-527+695</f>
        <v>19000</v>
      </c>
      <c r="L89" s="9">
        <f>48935-695+760</f>
        <v>49000</v>
      </c>
      <c r="M89" s="9">
        <f t="shared" ref="M89:M91" si="178">SUM(I89:L89)</f>
        <v>282000</v>
      </c>
      <c r="N89" s="9">
        <f>101252.73+60057.36+22323.88+46195.68</f>
        <v>229829.65</v>
      </c>
      <c r="O89" s="9">
        <f>H89+N89</f>
        <v>350515.95999999996</v>
      </c>
      <c r="P89" s="9">
        <f>461456-O89+59.9599999999627</f>
        <v>111000</v>
      </c>
      <c r="Q89" s="9"/>
      <c r="R89" s="9"/>
      <c r="S89" s="9"/>
      <c r="T89" s="9">
        <f t="shared" ref="T89:T91" si="179">SUM(P89:S89)</f>
        <v>111000</v>
      </c>
      <c r="U89" s="9">
        <f>3555.78+1477.03+41411.85+54104.75</f>
        <v>100549.41</v>
      </c>
      <c r="V89" s="9">
        <f t="shared" ref="V89:V91" si="180">O89+U89</f>
        <v>451065.37</v>
      </c>
      <c r="W89" s="9"/>
      <c r="X89" s="9"/>
      <c r="Y89" s="9"/>
      <c r="Z89" s="9"/>
      <c r="AA89" s="9"/>
      <c r="AB89" s="9"/>
      <c r="AC89" s="9"/>
      <c r="AD89" s="66">
        <f t="shared" si="116"/>
        <v>0</v>
      </c>
      <c r="AE89" s="9">
        <v>-70412.149999999994</v>
      </c>
      <c r="AF89" s="9">
        <f t="shared" ref="AF89:AF91" si="181">V89+AE89</f>
        <v>380653.22</v>
      </c>
      <c r="AG89" s="9"/>
      <c r="AH89" s="9"/>
      <c r="AI89" s="9"/>
      <c r="AJ89" s="9"/>
      <c r="AK89" s="9"/>
      <c r="AL89" s="9"/>
      <c r="AM89" s="9"/>
      <c r="AN89" s="9"/>
      <c r="AO89" s="66">
        <f t="shared" si="118"/>
        <v>0</v>
      </c>
      <c r="AP89" s="66">
        <f t="shared" si="119"/>
        <v>0</v>
      </c>
      <c r="AQ89" s="66">
        <f t="shared" si="120"/>
        <v>0</v>
      </c>
      <c r="AR89" s="9"/>
      <c r="AS89" s="9"/>
      <c r="AT89" s="9"/>
      <c r="AU89" s="9"/>
      <c r="AV89" s="9"/>
      <c r="AW89" s="9">
        <f t="shared" si="121"/>
        <v>380653.22</v>
      </c>
      <c r="AX89" s="10" t="s">
        <v>55</v>
      </c>
      <c r="AY89" s="23">
        <v>461456</v>
      </c>
      <c r="AZ89" s="23">
        <f t="shared" si="177"/>
        <v>-80802.780000000028</v>
      </c>
    </row>
    <row r="90" spans="1:53" s="23" customFormat="1">
      <c r="A90" s="158"/>
      <c r="B90" s="159"/>
      <c r="C90" s="155"/>
      <c r="D90" s="7" t="s">
        <v>21</v>
      </c>
      <c r="E90" s="7">
        <v>480202</v>
      </c>
      <c r="F90" s="8" t="s">
        <v>61</v>
      </c>
      <c r="G90" s="7">
        <v>128038</v>
      </c>
      <c r="H90" s="9"/>
      <c r="I90" s="9"/>
      <c r="J90" s="9"/>
      <c r="K90" s="9"/>
      <c r="L90" s="9"/>
      <c r="M90" s="9">
        <f t="shared" si="178"/>
        <v>0</v>
      </c>
      <c r="N90" s="9"/>
      <c r="O90" s="9">
        <f t="shared" ref="O90:O91" si="182">H90+N90</f>
        <v>0</v>
      </c>
      <c r="P90" s="9"/>
      <c r="Q90" s="9"/>
      <c r="R90" s="9"/>
      <c r="S90" s="9"/>
      <c r="T90" s="9">
        <f t="shared" si="179"/>
        <v>0</v>
      </c>
      <c r="U90" s="9"/>
      <c r="V90" s="9">
        <f t="shared" si="180"/>
        <v>0</v>
      </c>
      <c r="W90" s="9"/>
      <c r="X90" s="9"/>
      <c r="Y90" s="9"/>
      <c r="Z90" s="9"/>
      <c r="AA90" s="9"/>
      <c r="AB90" s="9"/>
      <c r="AC90" s="9"/>
      <c r="AD90" s="66">
        <f t="shared" si="116"/>
        <v>0</v>
      </c>
      <c r="AE90" s="9"/>
      <c r="AF90" s="9">
        <f t="shared" si="181"/>
        <v>0</v>
      </c>
      <c r="AG90" s="9"/>
      <c r="AH90" s="9"/>
      <c r="AI90" s="9"/>
      <c r="AJ90" s="9"/>
      <c r="AK90" s="9"/>
      <c r="AL90" s="9"/>
      <c r="AM90" s="9"/>
      <c r="AN90" s="9"/>
      <c r="AO90" s="66">
        <f t="shared" si="118"/>
        <v>0</v>
      </c>
      <c r="AP90" s="66">
        <f t="shared" si="119"/>
        <v>0</v>
      </c>
      <c r="AQ90" s="66">
        <f t="shared" si="120"/>
        <v>0</v>
      </c>
      <c r="AR90" s="9"/>
      <c r="AS90" s="9"/>
      <c r="AT90" s="9"/>
      <c r="AU90" s="9"/>
      <c r="AV90" s="9"/>
      <c r="AW90" s="9">
        <f t="shared" si="121"/>
        <v>0</v>
      </c>
      <c r="AX90" s="10" t="s">
        <v>55</v>
      </c>
      <c r="AY90" s="23">
        <v>0</v>
      </c>
      <c r="AZ90" s="23">
        <f t="shared" si="177"/>
        <v>0</v>
      </c>
    </row>
    <row r="91" spans="1:53" s="23" customFormat="1" ht="180">
      <c r="A91" s="158"/>
      <c r="B91" s="159"/>
      <c r="C91" s="155"/>
      <c r="D91" s="7" t="s">
        <v>21</v>
      </c>
      <c r="E91" s="7" t="s">
        <v>37</v>
      </c>
      <c r="F91" s="8" t="s">
        <v>38</v>
      </c>
      <c r="G91" s="7">
        <v>128038</v>
      </c>
      <c r="H91" s="9">
        <f>10319.6+78682.74+7691.44</f>
        <v>96693.780000000013</v>
      </c>
      <c r="I91" s="9">
        <f>16500+500</f>
        <v>17000</v>
      </c>
      <c r="J91" s="9">
        <f>17781-500+719</f>
        <v>18000</v>
      </c>
      <c r="K91" s="9">
        <f>3024-719+695</f>
        <v>3000</v>
      </c>
      <c r="L91" s="9">
        <f>7845-695+850</f>
        <v>8000</v>
      </c>
      <c r="M91" s="9">
        <f t="shared" si="178"/>
        <v>46000</v>
      </c>
      <c r="N91" s="9">
        <f>16266.41+9647.76+3586.71+7421.42</f>
        <v>36922.299999999996</v>
      </c>
      <c r="O91" s="9">
        <f t="shared" si="182"/>
        <v>133616.08000000002</v>
      </c>
      <c r="P91" s="9">
        <f>74127-O91+489.080000000016</f>
        <v>-59000</v>
      </c>
      <c r="Q91" s="9"/>
      <c r="R91" s="9"/>
      <c r="S91" s="9"/>
      <c r="T91" s="9">
        <f t="shared" si="179"/>
        <v>-59000</v>
      </c>
      <c r="U91" s="9">
        <f>571.26+237.28+6652.88+8663.26</f>
        <v>16124.68</v>
      </c>
      <c r="V91" s="9">
        <f t="shared" si="180"/>
        <v>149740.76</v>
      </c>
      <c r="W91" s="9"/>
      <c r="X91" s="9"/>
      <c r="Y91" s="9"/>
      <c r="Z91" s="9"/>
      <c r="AA91" s="9"/>
      <c r="AB91" s="9"/>
      <c r="AC91" s="9"/>
      <c r="AD91" s="66">
        <f t="shared" si="116"/>
        <v>0</v>
      </c>
      <c r="AE91" s="9">
        <v>-11307.3</v>
      </c>
      <c r="AF91" s="9">
        <f t="shared" si="181"/>
        <v>138433.46000000002</v>
      </c>
      <c r="AG91" s="9"/>
      <c r="AH91" s="9"/>
      <c r="AI91" s="9"/>
      <c r="AJ91" s="9"/>
      <c r="AK91" s="9"/>
      <c r="AL91" s="9"/>
      <c r="AM91" s="9"/>
      <c r="AN91" s="9"/>
      <c r="AO91" s="66">
        <f t="shared" si="118"/>
        <v>0</v>
      </c>
      <c r="AP91" s="66">
        <f t="shared" si="119"/>
        <v>0</v>
      </c>
      <c r="AQ91" s="66">
        <f t="shared" si="120"/>
        <v>0</v>
      </c>
      <c r="AR91" s="9"/>
      <c r="AS91" s="9"/>
      <c r="AT91" s="9"/>
      <c r="AU91" s="9"/>
      <c r="AV91" s="9"/>
      <c r="AW91" s="9">
        <f t="shared" si="121"/>
        <v>138433.46000000002</v>
      </c>
      <c r="AX91" s="10" t="s">
        <v>55</v>
      </c>
      <c r="AY91" s="23">
        <v>74127</v>
      </c>
      <c r="AZ91" s="23">
        <f t="shared" si="177"/>
        <v>64306.460000000021</v>
      </c>
    </row>
    <row r="92" spans="1:53" s="23" customFormat="1">
      <c r="A92" s="158"/>
      <c r="B92" s="159"/>
      <c r="C92" s="155"/>
      <c r="D92" s="7" t="s">
        <v>21</v>
      </c>
      <c r="E92" s="36"/>
      <c r="F92" s="7" t="s">
        <v>19</v>
      </c>
      <c r="G92" s="7">
        <v>128038</v>
      </c>
      <c r="H92" s="9">
        <f>H99-H89-H90-H91</f>
        <v>258602.96999999997</v>
      </c>
      <c r="I92" s="9">
        <f t="shared" ref="I92:S92" si="183">I99-I89-I90-I91</f>
        <v>-20000</v>
      </c>
      <c r="J92" s="9">
        <f t="shared" si="183"/>
        <v>-129000</v>
      </c>
      <c r="K92" s="9">
        <f t="shared" si="183"/>
        <v>-22000</v>
      </c>
      <c r="L92" s="9">
        <f t="shared" si="183"/>
        <v>-57000</v>
      </c>
      <c r="M92" s="9">
        <f t="shared" si="183"/>
        <v>-228000</v>
      </c>
      <c r="N92" s="9">
        <f t="shared" si="183"/>
        <v>-189081.44</v>
      </c>
      <c r="O92" s="9">
        <f t="shared" si="183"/>
        <v>69521.530000000086</v>
      </c>
      <c r="P92" s="9">
        <f t="shared" si="183"/>
        <v>-52000</v>
      </c>
      <c r="Q92" s="9">
        <f t="shared" si="183"/>
        <v>0</v>
      </c>
      <c r="R92" s="9">
        <f t="shared" si="183"/>
        <v>0</v>
      </c>
      <c r="S92" s="9">
        <f t="shared" si="183"/>
        <v>0</v>
      </c>
      <c r="T92" s="9">
        <f>T99-T89-T90-T91</f>
        <v>-52000</v>
      </c>
      <c r="U92" s="9">
        <f t="shared" ref="U92:V92" si="184">U99-U89-U90-U91</f>
        <v>-116674.09</v>
      </c>
      <c r="V92" s="9">
        <f t="shared" si="184"/>
        <v>-47152.559999999939</v>
      </c>
      <c r="W92" s="9"/>
      <c r="X92" s="9"/>
      <c r="Y92" s="9"/>
      <c r="Z92" s="9"/>
      <c r="AA92" s="9"/>
      <c r="AB92" s="9"/>
      <c r="AC92" s="9"/>
      <c r="AD92" s="66">
        <f t="shared" si="116"/>
        <v>0</v>
      </c>
      <c r="AE92" s="9">
        <f t="shared" ref="AE92:AF92" si="185">AE99-AE89-AE90-AE91</f>
        <v>81719.45</v>
      </c>
      <c r="AF92" s="9">
        <f t="shared" si="185"/>
        <v>34566.890000000072</v>
      </c>
      <c r="AG92" s="9">
        <f t="shared" ref="AG92:AW92" si="186">AG99-AG89-AG90-AG91</f>
        <v>0</v>
      </c>
      <c r="AH92" s="9">
        <f t="shared" si="186"/>
        <v>0</v>
      </c>
      <c r="AI92" s="9">
        <f t="shared" si="186"/>
        <v>0</v>
      </c>
      <c r="AJ92" s="9">
        <f t="shared" si="186"/>
        <v>0</v>
      </c>
      <c r="AK92" s="9">
        <f t="shared" si="186"/>
        <v>0</v>
      </c>
      <c r="AL92" s="9">
        <f t="shared" si="186"/>
        <v>0</v>
      </c>
      <c r="AM92" s="9">
        <f t="shared" si="186"/>
        <v>0</v>
      </c>
      <c r="AN92" s="9">
        <f t="shared" si="186"/>
        <v>0</v>
      </c>
      <c r="AO92" s="66">
        <f t="shared" si="186"/>
        <v>0</v>
      </c>
      <c r="AP92" s="66">
        <f t="shared" si="186"/>
        <v>0</v>
      </c>
      <c r="AQ92" s="66">
        <f t="shared" si="186"/>
        <v>0</v>
      </c>
      <c r="AR92" s="9">
        <f t="shared" si="186"/>
        <v>0</v>
      </c>
      <c r="AS92" s="9">
        <f t="shared" si="186"/>
        <v>0</v>
      </c>
      <c r="AT92" s="9">
        <f t="shared" si="186"/>
        <v>0</v>
      </c>
      <c r="AU92" s="9">
        <f t="shared" si="186"/>
        <v>0</v>
      </c>
      <c r="AV92" s="9">
        <f t="shared" si="186"/>
        <v>0</v>
      </c>
      <c r="AW92" s="9">
        <f t="shared" si="186"/>
        <v>34566.890000000072</v>
      </c>
      <c r="AX92" s="10" t="s">
        <v>55</v>
      </c>
      <c r="AY92" s="23">
        <v>18070.570000000065</v>
      </c>
      <c r="AZ92" s="23">
        <f t="shared" si="177"/>
        <v>16496.320000000007</v>
      </c>
    </row>
    <row r="93" spans="1:53" s="5" customFormat="1" ht="14.45" customHeight="1">
      <c r="A93" s="158"/>
      <c r="B93" s="159"/>
      <c r="C93" s="155"/>
      <c r="D93" s="7" t="s">
        <v>21</v>
      </c>
      <c r="E93" s="7"/>
      <c r="F93" s="8" t="s">
        <v>34</v>
      </c>
      <c r="G93" s="7">
        <v>128038</v>
      </c>
      <c r="H93" s="9">
        <f t="shared" ref="H93" si="187">SUM(H89:H92)</f>
        <v>475983.06</v>
      </c>
      <c r="I93" s="9">
        <f t="shared" ref="I93:M93" si="188">SUM(I89:I92)</f>
        <v>100000</v>
      </c>
      <c r="J93" s="9">
        <f t="shared" si="188"/>
        <v>0</v>
      </c>
      <c r="K93" s="9">
        <f t="shared" si="188"/>
        <v>0</v>
      </c>
      <c r="L93" s="9">
        <f t="shared" si="188"/>
        <v>0</v>
      </c>
      <c r="M93" s="9">
        <f t="shared" si="188"/>
        <v>100000</v>
      </c>
      <c r="N93" s="9">
        <f t="shared" ref="N93:S93" si="189">SUM(N89:N92)</f>
        <v>77670.510000000009</v>
      </c>
      <c r="O93" s="9">
        <f t="shared" si="189"/>
        <v>553653.57000000007</v>
      </c>
      <c r="P93" s="9">
        <f t="shared" si="189"/>
        <v>0</v>
      </c>
      <c r="Q93" s="9">
        <f t="shared" si="189"/>
        <v>0</v>
      </c>
      <c r="R93" s="9">
        <f t="shared" si="189"/>
        <v>0</v>
      </c>
      <c r="S93" s="9">
        <f t="shared" si="189"/>
        <v>0</v>
      </c>
      <c r="T93" s="9">
        <f>SUM(T89:T92)</f>
        <v>0</v>
      </c>
      <c r="U93" s="9">
        <f t="shared" ref="U93:V93" si="190">SUM(U89:U92)</f>
        <v>0</v>
      </c>
      <c r="V93" s="9">
        <f t="shared" si="190"/>
        <v>553653.57000000007</v>
      </c>
      <c r="W93" s="9"/>
      <c r="X93" s="9"/>
      <c r="Y93" s="9"/>
      <c r="Z93" s="9"/>
      <c r="AA93" s="9"/>
      <c r="AB93" s="9"/>
      <c r="AC93" s="9"/>
      <c r="AD93" s="66">
        <f t="shared" si="116"/>
        <v>0</v>
      </c>
      <c r="AE93" s="9">
        <f t="shared" ref="AE93:AF93" si="191">SUM(AE89:AE92)</f>
        <v>0</v>
      </c>
      <c r="AF93" s="9">
        <f t="shared" si="191"/>
        <v>553653.57000000007</v>
      </c>
      <c r="AG93" s="9">
        <f t="shared" ref="AG93:AW93" si="192">SUM(AG89:AG92)</f>
        <v>0</v>
      </c>
      <c r="AH93" s="9">
        <f t="shared" si="192"/>
        <v>0</v>
      </c>
      <c r="AI93" s="9">
        <f t="shared" si="192"/>
        <v>0</v>
      </c>
      <c r="AJ93" s="9">
        <f t="shared" si="192"/>
        <v>0</v>
      </c>
      <c r="AK93" s="9">
        <f t="shared" si="192"/>
        <v>0</v>
      </c>
      <c r="AL93" s="9">
        <f t="shared" si="192"/>
        <v>0</v>
      </c>
      <c r="AM93" s="9">
        <f t="shared" si="192"/>
        <v>0</v>
      </c>
      <c r="AN93" s="9">
        <f t="shared" si="192"/>
        <v>0</v>
      </c>
      <c r="AO93" s="66">
        <f t="shared" si="192"/>
        <v>0</v>
      </c>
      <c r="AP93" s="66">
        <f t="shared" si="192"/>
        <v>0</v>
      </c>
      <c r="AQ93" s="66">
        <f t="shared" si="192"/>
        <v>0</v>
      </c>
      <c r="AR93" s="9">
        <f t="shared" si="192"/>
        <v>0</v>
      </c>
      <c r="AS93" s="9">
        <f t="shared" si="192"/>
        <v>0</v>
      </c>
      <c r="AT93" s="9">
        <f t="shared" si="192"/>
        <v>0</v>
      </c>
      <c r="AU93" s="9">
        <f t="shared" si="192"/>
        <v>0</v>
      </c>
      <c r="AV93" s="9">
        <f t="shared" si="192"/>
        <v>0</v>
      </c>
      <c r="AW93" s="9">
        <f t="shared" si="192"/>
        <v>553653.57000000007</v>
      </c>
      <c r="AX93" s="10" t="s">
        <v>55</v>
      </c>
      <c r="AY93" s="5">
        <v>553653.57000000007</v>
      </c>
      <c r="AZ93" s="5">
        <f t="shared" si="177"/>
        <v>0</v>
      </c>
    </row>
    <row r="94" spans="1:53" s="4" customFormat="1" ht="30">
      <c r="A94" s="158"/>
      <c r="B94" s="159"/>
      <c r="C94" s="155"/>
      <c r="D94" s="25" t="s">
        <v>22</v>
      </c>
      <c r="E94" s="25">
        <v>580201</v>
      </c>
      <c r="F94" s="37" t="s">
        <v>41</v>
      </c>
      <c r="G94" s="25">
        <v>128038</v>
      </c>
      <c r="H94" s="26">
        <f>SUM(H95:H96)</f>
        <v>74060.229736000008</v>
      </c>
      <c r="I94" s="26">
        <f t="shared" ref="I94:S94" si="193">SUM(I95:I96)</f>
        <v>16000.000000000007</v>
      </c>
      <c r="J94" s="26">
        <f t="shared" si="193"/>
        <v>0</v>
      </c>
      <c r="K94" s="26">
        <f t="shared" si="193"/>
        <v>0</v>
      </c>
      <c r="L94" s="26">
        <f t="shared" si="193"/>
        <v>0</v>
      </c>
      <c r="M94" s="26">
        <f t="shared" si="193"/>
        <v>16000.000000000007</v>
      </c>
      <c r="N94" s="26">
        <f t="shared" si="193"/>
        <v>12085.98</v>
      </c>
      <c r="O94" s="26">
        <f t="shared" si="193"/>
        <v>86146.209736000004</v>
      </c>
      <c r="P94" s="26">
        <f t="shared" si="193"/>
        <v>0</v>
      </c>
      <c r="Q94" s="26">
        <f t="shared" si="193"/>
        <v>0</v>
      </c>
      <c r="R94" s="26">
        <f t="shared" si="193"/>
        <v>0</v>
      </c>
      <c r="S94" s="26">
        <f t="shared" si="193"/>
        <v>0</v>
      </c>
      <c r="T94" s="26">
        <f>SUM(T95:T96)</f>
        <v>0</v>
      </c>
      <c r="U94" s="26">
        <f t="shared" ref="U94:V94" si="194">SUM(U95:U96)</f>
        <v>0</v>
      </c>
      <c r="V94" s="26">
        <f t="shared" si="194"/>
        <v>86146.209736000004</v>
      </c>
      <c r="W94" s="26"/>
      <c r="X94" s="26"/>
      <c r="Y94" s="26"/>
      <c r="Z94" s="26"/>
      <c r="AA94" s="26"/>
      <c r="AB94" s="26"/>
      <c r="AC94" s="26"/>
      <c r="AD94" s="67">
        <f t="shared" si="116"/>
        <v>0</v>
      </c>
      <c r="AE94" s="26">
        <f t="shared" ref="AE94:AF94" si="195">SUM(AE95:AE96)</f>
        <v>0</v>
      </c>
      <c r="AF94" s="26">
        <f t="shared" si="195"/>
        <v>86146.209736000004</v>
      </c>
      <c r="AG94" s="26">
        <f t="shared" ref="AG94:AW94" si="196">SUM(AG95:AG96)</f>
        <v>0</v>
      </c>
      <c r="AH94" s="26">
        <f t="shared" si="196"/>
        <v>0</v>
      </c>
      <c r="AI94" s="26">
        <f t="shared" si="196"/>
        <v>0</v>
      </c>
      <c r="AJ94" s="26">
        <f t="shared" si="196"/>
        <v>0</v>
      </c>
      <c r="AK94" s="26">
        <f t="shared" si="196"/>
        <v>0</v>
      </c>
      <c r="AL94" s="26">
        <f t="shared" si="196"/>
        <v>0</v>
      </c>
      <c r="AM94" s="26">
        <f t="shared" si="196"/>
        <v>0</v>
      </c>
      <c r="AN94" s="26">
        <f t="shared" si="196"/>
        <v>0</v>
      </c>
      <c r="AO94" s="67">
        <f t="shared" si="196"/>
        <v>0</v>
      </c>
      <c r="AP94" s="67">
        <f t="shared" si="196"/>
        <v>0</v>
      </c>
      <c r="AQ94" s="67">
        <f t="shared" si="196"/>
        <v>0</v>
      </c>
      <c r="AR94" s="26">
        <f t="shared" si="196"/>
        <v>0</v>
      </c>
      <c r="AS94" s="26">
        <f t="shared" si="196"/>
        <v>0</v>
      </c>
      <c r="AT94" s="26">
        <f t="shared" si="196"/>
        <v>0</v>
      </c>
      <c r="AU94" s="26">
        <f t="shared" si="196"/>
        <v>0</v>
      </c>
      <c r="AV94" s="26">
        <f t="shared" si="196"/>
        <v>0</v>
      </c>
      <c r="AW94" s="26">
        <f t="shared" si="196"/>
        <v>86146.209736000004</v>
      </c>
      <c r="AX94" s="14" t="s">
        <v>55</v>
      </c>
      <c r="AY94" s="4">
        <v>86146.209736000004</v>
      </c>
      <c r="AZ94" s="41">
        <f t="shared" si="177"/>
        <v>0</v>
      </c>
    </row>
    <row r="95" spans="1:53" s="4" customFormat="1">
      <c r="A95" s="158"/>
      <c r="B95" s="159"/>
      <c r="C95" s="155"/>
      <c r="D95" s="25"/>
      <c r="E95" s="25"/>
      <c r="F95" s="37" t="s">
        <v>23</v>
      </c>
      <c r="G95" s="25">
        <v>128038</v>
      </c>
      <c r="H95" s="26">
        <f>7460.4412+16018*2/15.56</f>
        <v>9519.310094601542</v>
      </c>
      <c r="I95" s="26">
        <f>661191*2%+118.680400000012-13023</f>
        <v>319.50040000001172</v>
      </c>
      <c r="J95" s="26"/>
      <c r="K95" s="26"/>
      <c r="L95" s="26"/>
      <c r="M95" s="26">
        <f t="shared" ref="M95:M97" si="197">SUM(I95:L95)</f>
        <v>319.50040000001172</v>
      </c>
      <c r="N95" s="26">
        <f>12085.98*2/15.56</f>
        <v>1553.4678663239074</v>
      </c>
      <c r="O95" s="26">
        <f t="shared" ref="O95:O98" si="198">H95+N95</f>
        <v>11072.77796092545</v>
      </c>
      <c r="P95" s="26"/>
      <c r="Q95" s="26"/>
      <c r="R95" s="26"/>
      <c r="S95" s="26"/>
      <c r="T95" s="26">
        <f t="shared" ref="T95:T98" si="199">SUM(P95:S95)</f>
        <v>0</v>
      </c>
      <c r="U95" s="26"/>
      <c r="V95" s="26">
        <f t="shared" ref="V95:V114" si="200">O95+U95</f>
        <v>11072.77796092545</v>
      </c>
      <c r="W95" s="26"/>
      <c r="X95" s="26"/>
      <c r="Y95" s="26"/>
      <c r="Z95" s="26"/>
      <c r="AA95" s="26"/>
      <c r="AB95" s="26"/>
      <c r="AC95" s="26"/>
      <c r="AD95" s="67">
        <f t="shared" si="116"/>
        <v>0</v>
      </c>
      <c r="AE95" s="26"/>
      <c r="AF95" s="26">
        <f t="shared" ref="AF95:AF98" si="201">V95+AE95</f>
        <v>11072.77796092545</v>
      </c>
      <c r="AG95" s="26"/>
      <c r="AH95" s="26"/>
      <c r="AI95" s="26"/>
      <c r="AJ95" s="26"/>
      <c r="AK95" s="26"/>
      <c r="AL95" s="26"/>
      <c r="AM95" s="26"/>
      <c r="AN95" s="26"/>
      <c r="AO95" s="67">
        <f t="shared" si="118"/>
        <v>0</v>
      </c>
      <c r="AP95" s="67">
        <f t="shared" si="119"/>
        <v>0</v>
      </c>
      <c r="AQ95" s="67">
        <f t="shared" si="120"/>
        <v>0</v>
      </c>
      <c r="AR95" s="26"/>
      <c r="AS95" s="26"/>
      <c r="AT95" s="26"/>
      <c r="AU95" s="26"/>
      <c r="AV95" s="26"/>
      <c r="AW95" s="26">
        <f t="shared" si="121"/>
        <v>11072.77796092545</v>
      </c>
      <c r="AX95" s="14" t="s">
        <v>55</v>
      </c>
      <c r="AY95" s="4">
        <v>11072.77796092545</v>
      </c>
      <c r="AZ95" s="41">
        <f t="shared" si="177"/>
        <v>0</v>
      </c>
    </row>
    <row r="96" spans="1:53" s="4" customFormat="1">
      <c r="A96" s="158"/>
      <c r="B96" s="159"/>
      <c r="C96" s="155"/>
      <c r="D96" s="25"/>
      <c r="E96" s="25"/>
      <c r="F96" s="37" t="s">
        <v>42</v>
      </c>
      <c r="G96" s="25">
        <v>128038</v>
      </c>
      <c r="H96" s="26">
        <f>50581.788536+16018*13.56/15.56</f>
        <v>64540.919641398461</v>
      </c>
      <c r="I96" s="26">
        <f>661191*13.56%-73977</f>
        <v>15680.499599999996</v>
      </c>
      <c r="J96" s="26"/>
      <c r="K96" s="26"/>
      <c r="L96" s="26"/>
      <c r="M96" s="26">
        <f t="shared" si="197"/>
        <v>15680.499599999996</v>
      </c>
      <c r="N96" s="26">
        <f>12085.98*13.56/15.56</f>
        <v>10532.512133676091</v>
      </c>
      <c r="O96" s="26">
        <f t="shared" si="198"/>
        <v>75073.431775074554</v>
      </c>
      <c r="P96" s="26"/>
      <c r="Q96" s="26"/>
      <c r="R96" s="26"/>
      <c r="S96" s="26"/>
      <c r="T96" s="26">
        <f t="shared" si="199"/>
        <v>0</v>
      </c>
      <c r="U96" s="26"/>
      <c r="V96" s="26">
        <f t="shared" si="200"/>
        <v>75073.431775074554</v>
      </c>
      <c r="W96" s="26"/>
      <c r="X96" s="26"/>
      <c r="Y96" s="26"/>
      <c r="Z96" s="26"/>
      <c r="AA96" s="26"/>
      <c r="AB96" s="26"/>
      <c r="AC96" s="26"/>
      <c r="AD96" s="67">
        <f t="shared" si="116"/>
        <v>0</v>
      </c>
      <c r="AE96" s="26"/>
      <c r="AF96" s="26">
        <f t="shared" si="201"/>
        <v>75073.431775074554</v>
      </c>
      <c r="AG96" s="26"/>
      <c r="AH96" s="26"/>
      <c r="AI96" s="26"/>
      <c r="AJ96" s="26"/>
      <c r="AK96" s="26"/>
      <c r="AL96" s="26"/>
      <c r="AM96" s="26"/>
      <c r="AN96" s="26"/>
      <c r="AO96" s="67">
        <f t="shared" si="118"/>
        <v>0</v>
      </c>
      <c r="AP96" s="67">
        <f t="shared" si="119"/>
        <v>0</v>
      </c>
      <c r="AQ96" s="67">
        <f t="shared" si="120"/>
        <v>0</v>
      </c>
      <c r="AR96" s="26"/>
      <c r="AS96" s="26"/>
      <c r="AT96" s="26"/>
      <c r="AU96" s="26"/>
      <c r="AV96" s="26"/>
      <c r="AW96" s="26">
        <f t="shared" si="121"/>
        <v>75073.431775074554</v>
      </c>
      <c r="AX96" s="14" t="s">
        <v>55</v>
      </c>
      <c r="AY96" s="4">
        <v>75073.431775074554</v>
      </c>
      <c r="AZ96" s="41">
        <f t="shared" si="177"/>
        <v>0</v>
      </c>
    </row>
    <row r="97" spans="1:53" s="4" customFormat="1" ht="30">
      <c r="A97" s="158"/>
      <c r="B97" s="159"/>
      <c r="C97" s="155"/>
      <c r="D97" s="25" t="s">
        <v>22</v>
      </c>
      <c r="E97" s="25">
        <v>580202</v>
      </c>
      <c r="F97" s="37" t="s">
        <v>31</v>
      </c>
      <c r="G97" s="25">
        <v>128038</v>
      </c>
      <c r="H97" s="26">
        <f>315013.830264+86909</f>
        <v>401922.83026399999</v>
      </c>
      <c r="I97" s="26">
        <f>661191*84.44%+690.319600000046-475000</f>
        <v>84000</v>
      </c>
      <c r="J97" s="26"/>
      <c r="K97" s="26"/>
      <c r="L97" s="26"/>
      <c r="M97" s="26">
        <f t="shared" si="197"/>
        <v>84000</v>
      </c>
      <c r="N97" s="26">
        <v>65584.53</v>
      </c>
      <c r="O97" s="26">
        <f t="shared" si="198"/>
        <v>467507.36026400002</v>
      </c>
      <c r="P97" s="26"/>
      <c r="Q97" s="26"/>
      <c r="R97" s="26"/>
      <c r="S97" s="26"/>
      <c r="T97" s="26">
        <f t="shared" si="199"/>
        <v>0</v>
      </c>
      <c r="U97" s="26"/>
      <c r="V97" s="26">
        <f t="shared" si="200"/>
        <v>467507.36026400002</v>
      </c>
      <c r="W97" s="26"/>
      <c r="X97" s="26"/>
      <c r="Y97" s="26"/>
      <c r="Z97" s="26"/>
      <c r="AA97" s="26"/>
      <c r="AB97" s="26"/>
      <c r="AC97" s="26"/>
      <c r="AD97" s="67">
        <f t="shared" si="116"/>
        <v>0</v>
      </c>
      <c r="AE97" s="26"/>
      <c r="AF97" s="26">
        <f t="shared" si="201"/>
        <v>467507.36026400002</v>
      </c>
      <c r="AG97" s="26"/>
      <c r="AH97" s="26"/>
      <c r="AI97" s="26"/>
      <c r="AJ97" s="26"/>
      <c r="AK97" s="26"/>
      <c r="AL97" s="26"/>
      <c r="AM97" s="26"/>
      <c r="AN97" s="26"/>
      <c r="AO97" s="67">
        <f t="shared" si="118"/>
        <v>0</v>
      </c>
      <c r="AP97" s="67">
        <f t="shared" si="119"/>
        <v>0</v>
      </c>
      <c r="AQ97" s="67">
        <f t="shared" si="120"/>
        <v>0</v>
      </c>
      <c r="AR97" s="26"/>
      <c r="AS97" s="26"/>
      <c r="AT97" s="26"/>
      <c r="AU97" s="26"/>
      <c r="AV97" s="26"/>
      <c r="AW97" s="26">
        <f t="shared" si="121"/>
        <v>467507.36026400002</v>
      </c>
      <c r="AX97" s="14" t="s">
        <v>55</v>
      </c>
      <c r="AY97" s="4">
        <v>467507.36026400002</v>
      </c>
      <c r="AZ97" s="41">
        <f t="shared" si="177"/>
        <v>0</v>
      </c>
    </row>
    <row r="98" spans="1:53" s="4" customFormat="1">
      <c r="A98" s="158"/>
      <c r="B98" s="159"/>
      <c r="C98" s="155"/>
      <c r="D98" s="25" t="s">
        <v>22</v>
      </c>
      <c r="E98" s="25">
        <v>580203</v>
      </c>
      <c r="F98" s="37" t="s">
        <v>28</v>
      </c>
      <c r="G98" s="25">
        <v>128038</v>
      </c>
      <c r="H98" s="26"/>
      <c r="I98" s="26"/>
      <c r="J98" s="26"/>
      <c r="K98" s="26"/>
      <c r="L98" s="26"/>
      <c r="M98" s="26">
        <f>SUM(I98:L98)</f>
        <v>0</v>
      </c>
      <c r="N98" s="26"/>
      <c r="O98" s="26">
        <f t="shared" si="198"/>
        <v>0</v>
      </c>
      <c r="P98" s="26"/>
      <c r="Q98" s="26"/>
      <c r="R98" s="26"/>
      <c r="S98" s="26"/>
      <c r="T98" s="26">
        <f t="shared" si="199"/>
        <v>0</v>
      </c>
      <c r="U98" s="26"/>
      <c r="V98" s="26">
        <f t="shared" si="200"/>
        <v>0</v>
      </c>
      <c r="W98" s="26"/>
      <c r="X98" s="26"/>
      <c r="Y98" s="26"/>
      <c r="Z98" s="26"/>
      <c r="AA98" s="26"/>
      <c r="AB98" s="26"/>
      <c r="AC98" s="26"/>
      <c r="AD98" s="67">
        <f t="shared" si="116"/>
        <v>0</v>
      </c>
      <c r="AE98" s="26"/>
      <c r="AF98" s="26">
        <f t="shared" si="201"/>
        <v>0</v>
      </c>
      <c r="AG98" s="26"/>
      <c r="AH98" s="26"/>
      <c r="AI98" s="26"/>
      <c r="AJ98" s="26"/>
      <c r="AK98" s="26"/>
      <c r="AL98" s="26"/>
      <c r="AM98" s="26"/>
      <c r="AN98" s="26"/>
      <c r="AO98" s="67">
        <f t="shared" si="118"/>
        <v>0</v>
      </c>
      <c r="AP98" s="67">
        <f t="shared" si="119"/>
        <v>0</v>
      </c>
      <c r="AQ98" s="67">
        <f t="shared" si="120"/>
        <v>0</v>
      </c>
      <c r="AR98" s="26"/>
      <c r="AS98" s="26"/>
      <c r="AT98" s="26"/>
      <c r="AU98" s="26"/>
      <c r="AV98" s="26"/>
      <c r="AW98" s="26">
        <f t="shared" si="121"/>
        <v>0</v>
      </c>
      <c r="AX98" s="14" t="s">
        <v>55</v>
      </c>
      <c r="AY98" s="41">
        <v>0</v>
      </c>
      <c r="AZ98" s="41">
        <f t="shared" si="177"/>
        <v>0</v>
      </c>
      <c r="BA98" s="41"/>
    </row>
    <row r="99" spans="1:53" s="4" customFormat="1">
      <c r="A99" s="158"/>
      <c r="B99" s="159"/>
      <c r="C99" s="155"/>
      <c r="D99" s="25" t="s">
        <v>22</v>
      </c>
      <c r="E99" s="14"/>
      <c r="F99" s="37" t="s">
        <v>29</v>
      </c>
      <c r="G99" s="25">
        <v>128038</v>
      </c>
      <c r="H99" s="26">
        <f>H94+H97+H98</f>
        <v>475983.06</v>
      </c>
      <c r="I99" s="26">
        <f t="shared" ref="I99:S99" si="202">I94+I97+I98</f>
        <v>100000</v>
      </c>
      <c r="J99" s="26">
        <f t="shared" si="202"/>
        <v>0</v>
      </c>
      <c r="K99" s="26">
        <f t="shared" si="202"/>
        <v>0</v>
      </c>
      <c r="L99" s="26">
        <f t="shared" si="202"/>
        <v>0</v>
      </c>
      <c r="M99" s="26">
        <f t="shared" si="202"/>
        <v>100000</v>
      </c>
      <c r="N99" s="26">
        <f t="shared" si="202"/>
        <v>77670.509999999995</v>
      </c>
      <c r="O99" s="26">
        <f t="shared" si="202"/>
        <v>553653.57000000007</v>
      </c>
      <c r="P99" s="26">
        <f t="shared" si="202"/>
        <v>0</v>
      </c>
      <c r="Q99" s="26">
        <f t="shared" si="202"/>
        <v>0</v>
      </c>
      <c r="R99" s="26">
        <f t="shared" si="202"/>
        <v>0</v>
      </c>
      <c r="S99" s="26">
        <f t="shared" si="202"/>
        <v>0</v>
      </c>
      <c r="T99" s="26">
        <f>T94+T97+T98</f>
        <v>0</v>
      </c>
      <c r="U99" s="26">
        <f t="shared" ref="U99:V99" si="203">U94+U97+U98</f>
        <v>0</v>
      </c>
      <c r="V99" s="26">
        <f t="shared" si="203"/>
        <v>553653.57000000007</v>
      </c>
      <c r="W99" s="26"/>
      <c r="X99" s="26"/>
      <c r="Y99" s="26"/>
      <c r="Z99" s="26"/>
      <c r="AA99" s="26"/>
      <c r="AB99" s="26"/>
      <c r="AC99" s="26"/>
      <c r="AD99" s="67">
        <f t="shared" si="116"/>
        <v>0</v>
      </c>
      <c r="AE99" s="26">
        <f t="shared" ref="AE99:AW99" si="204">AE94+AE97+AE98</f>
        <v>0</v>
      </c>
      <c r="AF99" s="26">
        <f t="shared" si="204"/>
        <v>553653.57000000007</v>
      </c>
      <c r="AG99" s="26">
        <f t="shared" si="204"/>
        <v>0</v>
      </c>
      <c r="AH99" s="26">
        <f t="shared" si="204"/>
        <v>0</v>
      </c>
      <c r="AI99" s="26">
        <f t="shared" si="204"/>
        <v>0</v>
      </c>
      <c r="AJ99" s="26">
        <f t="shared" si="204"/>
        <v>0</v>
      </c>
      <c r="AK99" s="26">
        <f t="shared" si="204"/>
        <v>0</v>
      </c>
      <c r="AL99" s="26">
        <f t="shared" si="204"/>
        <v>0</v>
      </c>
      <c r="AM99" s="26">
        <f t="shared" si="204"/>
        <v>0</v>
      </c>
      <c r="AN99" s="26">
        <f t="shared" si="204"/>
        <v>0</v>
      </c>
      <c r="AO99" s="67">
        <f t="shared" si="204"/>
        <v>0</v>
      </c>
      <c r="AP99" s="67">
        <f t="shared" si="204"/>
        <v>0</v>
      </c>
      <c r="AQ99" s="67">
        <f t="shared" si="204"/>
        <v>0</v>
      </c>
      <c r="AR99" s="26">
        <f t="shared" si="204"/>
        <v>0</v>
      </c>
      <c r="AS99" s="26">
        <f t="shared" si="204"/>
        <v>0</v>
      </c>
      <c r="AT99" s="26">
        <f t="shared" si="204"/>
        <v>0</v>
      </c>
      <c r="AU99" s="26">
        <f t="shared" si="204"/>
        <v>0</v>
      </c>
      <c r="AV99" s="26">
        <f t="shared" si="204"/>
        <v>0</v>
      </c>
      <c r="AW99" s="26">
        <f t="shared" si="204"/>
        <v>553653.57000000007</v>
      </c>
      <c r="AX99" s="14" t="s">
        <v>55</v>
      </c>
      <c r="AY99" s="4">
        <v>553653.57000000007</v>
      </c>
      <c r="AZ99" s="4">
        <f t="shared" si="177"/>
        <v>0</v>
      </c>
    </row>
    <row r="100" spans="1:53" s="5" customFormat="1">
      <c r="A100" s="148" t="s">
        <v>245</v>
      </c>
      <c r="B100" s="133" t="s">
        <v>49</v>
      </c>
      <c r="C100" s="134">
        <v>70</v>
      </c>
      <c r="D100" s="7" t="s">
        <v>21</v>
      </c>
      <c r="E100" s="36"/>
      <c r="F100" s="7" t="s">
        <v>19</v>
      </c>
      <c r="G100" s="7">
        <v>107113</v>
      </c>
      <c r="H100" s="9">
        <f>36497.5+15289.74</f>
        <v>51787.24</v>
      </c>
      <c r="I100" s="9">
        <v>117000</v>
      </c>
      <c r="J100" s="9"/>
      <c r="K100" s="9"/>
      <c r="L100" s="9">
        <v>14000</v>
      </c>
      <c r="M100" s="9">
        <f t="shared" ref="M100:M101" si="205">SUM(I100:L100)</f>
        <v>131000</v>
      </c>
      <c r="N100" s="9">
        <v>20214</v>
      </c>
      <c r="O100" s="9">
        <f t="shared" ref="O100:O101" si="206">H100+N100</f>
        <v>72001.239999999991</v>
      </c>
      <c r="P100" s="53">
        <f>209000-20000</f>
        <v>189000</v>
      </c>
      <c r="Q100" s="9"/>
      <c r="R100" s="9"/>
      <c r="S100" s="9"/>
      <c r="T100" s="9">
        <f t="shared" ref="T100:T101" si="207">SUM(P100:S100)</f>
        <v>189000</v>
      </c>
      <c r="U100" s="9">
        <v>87415.87</v>
      </c>
      <c r="V100" s="9">
        <f t="shared" ref="V100:V101" si="208">O100+U100</f>
        <v>159417.10999999999</v>
      </c>
      <c r="W100" s="9"/>
      <c r="X100" s="9"/>
      <c r="Y100" s="9"/>
      <c r="Z100" s="9"/>
      <c r="AA100" s="9"/>
      <c r="AB100" s="9"/>
      <c r="AC100" s="9"/>
      <c r="AD100" s="66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66">
        <f t="shared" si="118"/>
        <v>0</v>
      </c>
      <c r="AP100" s="66">
        <f t="shared" si="119"/>
        <v>0</v>
      </c>
      <c r="AQ100" s="66">
        <f t="shared" si="120"/>
        <v>0</v>
      </c>
      <c r="AR100" s="9"/>
      <c r="AS100" s="9"/>
      <c r="AT100" s="9"/>
      <c r="AU100" s="9"/>
      <c r="AV100" s="9"/>
      <c r="AW100" s="9">
        <f t="shared" si="121"/>
        <v>0</v>
      </c>
      <c r="AX100" s="10"/>
    </row>
    <row r="101" spans="1:53" s="4" customFormat="1" ht="30">
      <c r="A101" s="148"/>
      <c r="B101" s="133"/>
      <c r="C101" s="134"/>
      <c r="D101" s="25" t="s">
        <v>22</v>
      </c>
      <c r="E101" s="25">
        <v>550113</v>
      </c>
      <c r="F101" s="37" t="s">
        <v>43</v>
      </c>
      <c r="G101" s="25">
        <v>107113</v>
      </c>
      <c r="H101" s="26">
        <f>36497.5+15289.74</f>
        <v>51787.24</v>
      </c>
      <c r="I101" s="26">
        <v>117000</v>
      </c>
      <c r="J101" s="26"/>
      <c r="K101" s="26"/>
      <c r="L101" s="26">
        <v>14000</v>
      </c>
      <c r="M101" s="26">
        <f t="shared" si="205"/>
        <v>131000</v>
      </c>
      <c r="N101" s="26">
        <v>20214</v>
      </c>
      <c r="O101" s="26">
        <f t="shared" si="206"/>
        <v>72001.239999999991</v>
      </c>
      <c r="P101" s="26">
        <f>209000.24-0.24-20000</f>
        <v>189000</v>
      </c>
      <c r="Q101" s="26"/>
      <c r="R101" s="26"/>
      <c r="S101" s="26"/>
      <c r="T101" s="26">
        <f t="shared" si="207"/>
        <v>189000</v>
      </c>
      <c r="U101" s="26">
        <v>87415.87</v>
      </c>
      <c r="V101" s="26">
        <f t="shared" si="208"/>
        <v>159417.10999999999</v>
      </c>
      <c r="W101" s="26"/>
      <c r="X101" s="26"/>
      <c r="Y101" s="26"/>
      <c r="Z101" s="26"/>
      <c r="AA101" s="26"/>
      <c r="AB101" s="26"/>
      <c r="AC101" s="26"/>
      <c r="AD101" s="67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67">
        <f t="shared" si="118"/>
        <v>0</v>
      </c>
      <c r="AP101" s="67">
        <f t="shared" si="119"/>
        <v>0</v>
      </c>
      <c r="AQ101" s="67">
        <f t="shared" si="120"/>
        <v>0</v>
      </c>
      <c r="AR101" s="26"/>
      <c r="AS101" s="26"/>
      <c r="AT101" s="26"/>
      <c r="AU101" s="26"/>
      <c r="AV101" s="26"/>
      <c r="AW101" s="26">
        <f t="shared" si="121"/>
        <v>0</v>
      </c>
      <c r="AX101" s="14"/>
    </row>
    <row r="102" spans="1:53" s="5" customFormat="1">
      <c r="A102" s="148"/>
      <c r="B102" s="133"/>
      <c r="C102" s="134"/>
      <c r="D102" s="7"/>
      <c r="E102" s="36"/>
      <c r="F102" s="7"/>
      <c r="G102" s="7"/>
      <c r="H102" s="9"/>
      <c r="I102" s="9"/>
      <c r="J102" s="9"/>
      <c r="K102" s="9"/>
      <c r="L102" s="9"/>
      <c r="M102" s="9"/>
      <c r="N102" s="9"/>
      <c r="O102" s="9"/>
      <c r="P102" s="53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66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66">
        <f t="shared" si="118"/>
        <v>0</v>
      </c>
      <c r="AP102" s="66">
        <f t="shared" si="119"/>
        <v>0</v>
      </c>
      <c r="AQ102" s="66">
        <f t="shared" si="120"/>
        <v>0</v>
      </c>
      <c r="AR102" s="9"/>
      <c r="AS102" s="9"/>
      <c r="AT102" s="9"/>
      <c r="AU102" s="9"/>
      <c r="AV102" s="9"/>
      <c r="AW102" s="9">
        <f t="shared" si="121"/>
        <v>0</v>
      </c>
      <c r="AX102" s="10"/>
    </row>
    <row r="103" spans="1:53" s="4" customFormat="1">
      <c r="A103" s="148"/>
      <c r="B103" s="133"/>
      <c r="C103" s="134"/>
      <c r="D103" s="25"/>
      <c r="E103" s="25"/>
      <c r="F103" s="37"/>
      <c r="G103" s="25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67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67">
        <f t="shared" si="118"/>
        <v>0</v>
      </c>
      <c r="AP103" s="67">
        <f t="shared" si="119"/>
        <v>0</v>
      </c>
      <c r="AQ103" s="67">
        <f t="shared" si="120"/>
        <v>0</v>
      </c>
      <c r="AR103" s="26"/>
      <c r="AS103" s="26"/>
      <c r="AT103" s="26"/>
      <c r="AU103" s="26"/>
      <c r="AV103" s="26"/>
      <c r="AW103" s="26">
        <f t="shared" si="121"/>
        <v>0</v>
      </c>
      <c r="AX103" s="14"/>
    </row>
    <row r="104" spans="1:53" s="5" customFormat="1" ht="57.75" customHeight="1">
      <c r="A104" s="148" t="s">
        <v>142</v>
      </c>
      <c r="B104" s="133" t="s">
        <v>49</v>
      </c>
      <c r="C104" s="134">
        <v>70</v>
      </c>
      <c r="D104" s="7" t="s">
        <v>21</v>
      </c>
      <c r="E104" s="36"/>
      <c r="F104" s="7" t="s">
        <v>19</v>
      </c>
      <c r="G104" s="7">
        <v>155743</v>
      </c>
      <c r="H104" s="9"/>
      <c r="I104" s="9">
        <v>323000</v>
      </c>
      <c r="J104" s="9"/>
      <c r="K104" s="9"/>
      <c r="L104" s="9"/>
      <c r="M104" s="9">
        <f t="shared" ref="M104:M109" si="209">SUM(I104:L104)</f>
        <v>323000</v>
      </c>
      <c r="N104" s="9"/>
      <c r="O104" s="9">
        <f t="shared" ref="O104:O105" si="210">H104+N104</f>
        <v>0</v>
      </c>
      <c r="P104" s="9">
        <f>322645+355</f>
        <v>323000</v>
      </c>
      <c r="Q104" s="9"/>
      <c r="R104" s="9"/>
      <c r="S104" s="9"/>
      <c r="T104" s="9">
        <f t="shared" ref="T104:T109" si="211">SUM(P104:S104)</f>
        <v>323000</v>
      </c>
      <c r="U104" s="9">
        <v>0</v>
      </c>
      <c r="V104" s="9">
        <f t="shared" si="200"/>
        <v>0</v>
      </c>
      <c r="W104" s="9">
        <v>323000</v>
      </c>
      <c r="X104" s="9"/>
      <c r="Y104" s="9"/>
      <c r="Z104" s="9"/>
      <c r="AA104" s="9"/>
      <c r="AB104" s="9"/>
      <c r="AC104" s="9"/>
      <c r="AD104" s="66">
        <f t="shared" si="116"/>
        <v>323000</v>
      </c>
      <c r="AE104" s="9">
        <v>0</v>
      </c>
      <c r="AF104" s="9">
        <f t="shared" ref="AF104:AF109" si="212">V104+AE104</f>
        <v>0</v>
      </c>
      <c r="AG104" s="9"/>
      <c r="AH104" s="9"/>
      <c r="AI104" s="9"/>
      <c r="AJ104" s="9"/>
      <c r="AK104" s="9"/>
      <c r="AL104" s="9"/>
      <c r="AM104" s="9"/>
      <c r="AN104" s="9"/>
      <c r="AO104" s="66">
        <f t="shared" si="118"/>
        <v>0</v>
      </c>
      <c r="AP104" s="66">
        <f t="shared" si="119"/>
        <v>0</v>
      </c>
      <c r="AQ104" s="66">
        <f t="shared" si="120"/>
        <v>0</v>
      </c>
      <c r="AR104" s="9"/>
      <c r="AS104" s="9"/>
      <c r="AT104" s="9"/>
      <c r="AU104" s="9"/>
      <c r="AV104" s="9"/>
      <c r="AW104" s="9">
        <f t="shared" si="121"/>
        <v>0</v>
      </c>
      <c r="AX104" s="10" t="s">
        <v>50</v>
      </c>
      <c r="AY104" s="5">
        <v>322645</v>
      </c>
      <c r="AZ104" s="5">
        <f t="shared" si="177"/>
        <v>-322645</v>
      </c>
    </row>
    <row r="105" spans="1:53" s="4" customFormat="1" ht="57.75" customHeight="1">
      <c r="A105" s="148"/>
      <c r="B105" s="133"/>
      <c r="C105" s="134"/>
      <c r="D105" s="25" t="s">
        <v>22</v>
      </c>
      <c r="E105" s="25">
        <v>550113</v>
      </c>
      <c r="F105" s="37" t="s">
        <v>43</v>
      </c>
      <c r="G105" s="25">
        <v>155743</v>
      </c>
      <c r="H105" s="26"/>
      <c r="I105" s="26">
        <v>323000</v>
      </c>
      <c r="J105" s="26"/>
      <c r="K105" s="26"/>
      <c r="L105" s="26"/>
      <c r="M105" s="26">
        <f t="shared" si="209"/>
        <v>323000</v>
      </c>
      <c r="N105" s="26"/>
      <c r="O105" s="26">
        <f t="shared" si="210"/>
        <v>0</v>
      </c>
      <c r="P105" s="26">
        <v>323000</v>
      </c>
      <c r="Q105" s="26"/>
      <c r="R105" s="26"/>
      <c r="S105" s="26"/>
      <c r="T105" s="26">
        <f t="shared" si="211"/>
        <v>323000</v>
      </c>
      <c r="U105" s="26">
        <v>0</v>
      </c>
      <c r="V105" s="26">
        <f t="shared" si="200"/>
        <v>0</v>
      </c>
      <c r="W105" s="26">
        <f>322645+355</f>
        <v>323000</v>
      </c>
      <c r="X105" s="26"/>
      <c r="Y105" s="26"/>
      <c r="Z105" s="26"/>
      <c r="AA105" s="26"/>
      <c r="AB105" s="26"/>
      <c r="AC105" s="26"/>
      <c r="AD105" s="67">
        <f t="shared" si="116"/>
        <v>323000</v>
      </c>
      <c r="AE105" s="26">
        <v>0</v>
      </c>
      <c r="AF105" s="26">
        <f t="shared" si="212"/>
        <v>0</v>
      </c>
      <c r="AG105" s="26"/>
      <c r="AH105" s="26"/>
      <c r="AI105" s="26"/>
      <c r="AJ105" s="26"/>
      <c r="AK105" s="26"/>
      <c r="AL105" s="26"/>
      <c r="AM105" s="26"/>
      <c r="AN105" s="26"/>
      <c r="AO105" s="67">
        <f t="shared" si="118"/>
        <v>0</v>
      </c>
      <c r="AP105" s="67">
        <f t="shared" si="119"/>
        <v>0</v>
      </c>
      <c r="AQ105" s="67">
        <f t="shared" si="120"/>
        <v>0</v>
      </c>
      <c r="AR105" s="26"/>
      <c r="AS105" s="26"/>
      <c r="AT105" s="26"/>
      <c r="AU105" s="26"/>
      <c r="AV105" s="26"/>
      <c r="AW105" s="26">
        <f t="shared" si="121"/>
        <v>0</v>
      </c>
      <c r="AX105" s="14" t="s">
        <v>50</v>
      </c>
      <c r="AY105" s="4">
        <v>322645</v>
      </c>
      <c r="AZ105" s="4">
        <f t="shared" si="177"/>
        <v>-322645</v>
      </c>
    </row>
    <row r="106" spans="1:53" s="5" customFormat="1" ht="68.25" customHeight="1">
      <c r="A106" s="148" t="s">
        <v>143</v>
      </c>
      <c r="B106" s="133" t="s">
        <v>49</v>
      </c>
      <c r="C106" s="134">
        <v>70</v>
      </c>
      <c r="D106" s="7" t="s">
        <v>21</v>
      </c>
      <c r="E106" s="36"/>
      <c r="F106" s="7" t="s">
        <v>19</v>
      </c>
      <c r="G106" s="7">
        <v>157915</v>
      </c>
      <c r="H106" s="9"/>
      <c r="I106" s="9"/>
      <c r="J106" s="9"/>
      <c r="K106" s="9">
        <v>1113000</v>
      </c>
      <c r="L106" s="9"/>
      <c r="M106" s="9">
        <f t="shared" si="209"/>
        <v>1113000</v>
      </c>
      <c r="N106" s="9"/>
      <c r="O106" s="9">
        <f>H106+N106</f>
        <v>0</v>
      </c>
      <c r="P106" s="9">
        <f>1093000+20000</f>
        <v>1113000</v>
      </c>
      <c r="Q106" s="9"/>
      <c r="R106" s="9"/>
      <c r="S106" s="9"/>
      <c r="T106" s="9">
        <f t="shared" si="211"/>
        <v>1113000</v>
      </c>
      <c r="U106" s="9">
        <v>0</v>
      </c>
      <c r="V106" s="9">
        <f t="shared" si="200"/>
        <v>0</v>
      </c>
      <c r="W106" s="9">
        <v>1113000</v>
      </c>
      <c r="X106" s="9"/>
      <c r="Y106" s="9"/>
      <c r="Z106" s="9"/>
      <c r="AA106" s="9"/>
      <c r="AB106" s="9"/>
      <c r="AC106" s="9"/>
      <c r="AD106" s="66">
        <f t="shared" si="116"/>
        <v>1113000</v>
      </c>
      <c r="AE106" s="9">
        <v>0</v>
      </c>
      <c r="AF106" s="9">
        <f t="shared" si="212"/>
        <v>0</v>
      </c>
      <c r="AG106" s="9"/>
      <c r="AH106" s="9"/>
      <c r="AI106" s="9"/>
      <c r="AJ106" s="9"/>
      <c r="AK106" s="9"/>
      <c r="AL106" s="9"/>
      <c r="AM106" s="9"/>
      <c r="AN106" s="9"/>
      <c r="AO106" s="66">
        <f t="shared" si="118"/>
        <v>0</v>
      </c>
      <c r="AP106" s="66">
        <f t="shared" si="119"/>
        <v>0</v>
      </c>
      <c r="AQ106" s="66">
        <f t="shared" si="120"/>
        <v>0</v>
      </c>
      <c r="AR106" s="9"/>
      <c r="AS106" s="9"/>
      <c r="AT106" s="9"/>
      <c r="AU106" s="9"/>
      <c r="AV106" s="9"/>
      <c r="AW106" s="9">
        <f t="shared" si="121"/>
        <v>0</v>
      </c>
      <c r="AX106" s="10" t="s">
        <v>50</v>
      </c>
      <c r="AY106" s="5">
        <v>1112309</v>
      </c>
      <c r="AZ106" s="5">
        <f t="shared" si="177"/>
        <v>-1112309</v>
      </c>
    </row>
    <row r="107" spans="1:53" s="4" customFormat="1" ht="68.25" customHeight="1">
      <c r="A107" s="148"/>
      <c r="B107" s="133"/>
      <c r="C107" s="134"/>
      <c r="D107" s="25" t="s">
        <v>22</v>
      </c>
      <c r="E107" s="25">
        <v>550113</v>
      </c>
      <c r="F107" s="37" t="s">
        <v>43</v>
      </c>
      <c r="G107" s="25">
        <v>157915</v>
      </c>
      <c r="H107" s="26"/>
      <c r="I107" s="26"/>
      <c r="J107" s="26"/>
      <c r="K107" s="26">
        <v>1113000</v>
      </c>
      <c r="L107" s="26"/>
      <c r="M107" s="26">
        <f t="shared" si="209"/>
        <v>1113000</v>
      </c>
      <c r="N107" s="26"/>
      <c r="O107" s="26">
        <f>H107+N107</f>
        <v>0</v>
      </c>
      <c r="P107" s="26">
        <f>1093000+20000</f>
        <v>1113000</v>
      </c>
      <c r="Q107" s="26"/>
      <c r="R107" s="26"/>
      <c r="S107" s="26"/>
      <c r="T107" s="26">
        <f t="shared" si="211"/>
        <v>1113000</v>
      </c>
      <c r="U107" s="26">
        <v>0</v>
      </c>
      <c r="V107" s="26">
        <f t="shared" si="200"/>
        <v>0</v>
      </c>
      <c r="W107" s="26">
        <f>1112523+477</f>
        <v>1113000</v>
      </c>
      <c r="X107" s="26"/>
      <c r="Y107" s="26"/>
      <c r="Z107" s="26"/>
      <c r="AA107" s="26"/>
      <c r="AB107" s="26"/>
      <c r="AC107" s="26"/>
      <c r="AD107" s="67">
        <f t="shared" si="116"/>
        <v>1113000</v>
      </c>
      <c r="AE107" s="26">
        <v>0</v>
      </c>
      <c r="AF107" s="26">
        <f t="shared" si="212"/>
        <v>0</v>
      </c>
      <c r="AG107" s="26"/>
      <c r="AH107" s="26"/>
      <c r="AI107" s="26"/>
      <c r="AJ107" s="26"/>
      <c r="AK107" s="26"/>
      <c r="AL107" s="26"/>
      <c r="AM107" s="26"/>
      <c r="AN107" s="26"/>
      <c r="AO107" s="67">
        <f t="shared" si="118"/>
        <v>0</v>
      </c>
      <c r="AP107" s="67">
        <f t="shared" si="119"/>
        <v>0</v>
      </c>
      <c r="AQ107" s="67">
        <f t="shared" si="120"/>
        <v>0</v>
      </c>
      <c r="AR107" s="26"/>
      <c r="AS107" s="26"/>
      <c r="AT107" s="26"/>
      <c r="AU107" s="26"/>
      <c r="AV107" s="26"/>
      <c r="AW107" s="26">
        <f t="shared" si="121"/>
        <v>0</v>
      </c>
      <c r="AX107" s="14" t="s">
        <v>50</v>
      </c>
      <c r="AY107" s="4">
        <v>1112309</v>
      </c>
      <c r="AZ107" s="4">
        <f t="shared" si="177"/>
        <v>-1112309</v>
      </c>
    </row>
    <row r="108" spans="1:53" s="5" customFormat="1" ht="42" customHeight="1">
      <c r="A108" s="132" t="s">
        <v>256</v>
      </c>
      <c r="B108" s="133" t="s">
        <v>49</v>
      </c>
      <c r="C108" s="134">
        <v>70</v>
      </c>
      <c r="D108" s="7" t="s">
        <v>21</v>
      </c>
      <c r="E108" s="36"/>
      <c r="F108" s="7" t="s">
        <v>19</v>
      </c>
      <c r="G108" s="7">
        <v>158028</v>
      </c>
      <c r="H108" s="9"/>
      <c r="I108" s="9"/>
      <c r="J108" s="9"/>
      <c r="K108" s="9"/>
      <c r="L108" s="9">
        <v>184000</v>
      </c>
      <c r="M108" s="9">
        <f t="shared" si="209"/>
        <v>184000</v>
      </c>
      <c r="N108" s="9"/>
      <c r="O108" s="9">
        <f t="shared" ref="O108:O109" si="213">H108+N108</f>
        <v>0</v>
      </c>
      <c r="P108" s="9">
        <f>183852.28+147.72</f>
        <v>184000</v>
      </c>
      <c r="Q108" s="9"/>
      <c r="R108" s="9"/>
      <c r="S108" s="9"/>
      <c r="T108" s="9">
        <f t="shared" si="211"/>
        <v>184000</v>
      </c>
      <c r="U108" s="9">
        <v>0</v>
      </c>
      <c r="V108" s="9">
        <f t="shared" si="200"/>
        <v>0</v>
      </c>
      <c r="W108" s="9">
        <v>184000</v>
      </c>
      <c r="X108" s="9"/>
      <c r="Y108" s="9"/>
      <c r="Z108" s="9"/>
      <c r="AA108" s="9"/>
      <c r="AB108" s="9"/>
      <c r="AC108" s="9"/>
      <c r="AD108" s="66">
        <f t="shared" si="116"/>
        <v>184000</v>
      </c>
      <c r="AE108" s="9">
        <v>0</v>
      </c>
      <c r="AF108" s="9">
        <f t="shared" si="212"/>
        <v>0</v>
      </c>
      <c r="AG108" s="9"/>
      <c r="AH108" s="9"/>
      <c r="AI108" s="9"/>
      <c r="AJ108" s="9"/>
      <c r="AK108" s="9"/>
      <c r="AL108" s="9"/>
      <c r="AM108" s="9">
        <v>166000</v>
      </c>
      <c r="AN108" s="9"/>
      <c r="AO108" s="66">
        <f t="shared" si="118"/>
        <v>166000</v>
      </c>
      <c r="AP108" s="66">
        <f t="shared" si="119"/>
        <v>0</v>
      </c>
      <c r="AQ108" s="66">
        <f t="shared" si="120"/>
        <v>166000</v>
      </c>
      <c r="AR108" s="9">
        <v>-493.02</v>
      </c>
      <c r="AS108" s="9"/>
      <c r="AT108" s="9"/>
      <c r="AU108" s="9"/>
      <c r="AV108" s="9"/>
      <c r="AW108" s="9">
        <f t="shared" si="121"/>
        <v>165506.98000000001</v>
      </c>
      <c r="AX108" s="10" t="s">
        <v>50</v>
      </c>
      <c r="AY108" s="5">
        <v>183852.28</v>
      </c>
      <c r="AZ108" s="5">
        <f t="shared" si="177"/>
        <v>-18345.299999999988</v>
      </c>
    </row>
    <row r="109" spans="1:53" s="4" customFormat="1" ht="50.25" customHeight="1">
      <c r="A109" s="132"/>
      <c r="B109" s="133"/>
      <c r="C109" s="134"/>
      <c r="D109" s="25" t="s">
        <v>22</v>
      </c>
      <c r="E109" s="25">
        <v>550113</v>
      </c>
      <c r="F109" s="37" t="s">
        <v>43</v>
      </c>
      <c r="G109" s="25">
        <v>158028</v>
      </c>
      <c r="H109" s="26"/>
      <c r="I109" s="26"/>
      <c r="J109" s="26"/>
      <c r="K109" s="26"/>
      <c r="L109" s="26">
        <v>184000</v>
      </c>
      <c r="M109" s="26">
        <f t="shared" si="209"/>
        <v>184000</v>
      </c>
      <c r="N109" s="26"/>
      <c r="O109" s="26">
        <f t="shared" si="213"/>
        <v>0</v>
      </c>
      <c r="P109" s="26">
        <f>183852.28+147.72</f>
        <v>184000</v>
      </c>
      <c r="Q109" s="26"/>
      <c r="R109" s="26"/>
      <c r="S109" s="26"/>
      <c r="T109" s="26">
        <f t="shared" si="211"/>
        <v>184000</v>
      </c>
      <c r="U109" s="26">
        <v>0</v>
      </c>
      <c r="V109" s="26">
        <f t="shared" si="200"/>
        <v>0</v>
      </c>
      <c r="W109" s="26">
        <f>183852.3+147.7</f>
        <v>184000</v>
      </c>
      <c r="X109" s="26"/>
      <c r="Y109" s="26"/>
      <c r="Z109" s="26"/>
      <c r="AA109" s="26"/>
      <c r="AB109" s="26"/>
      <c r="AC109" s="26"/>
      <c r="AD109" s="67">
        <f t="shared" si="116"/>
        <v>184000</v>
      </c>
      <c r="AE109" s="26">
        <v>0</v>
      </c>
      <c r="AF109" s="26">
        <f t="shared" si="212"/>
        <v>0</v>
      </c>
      <c r="AG109" s="26"/>
      <c r="AH109" s="26"/>
      <c r="AI109" s="26"/>
      <c r="AJ109" s="26"/>
      <c r="AK109" s="26"/>
      <c r="AL109" s="26"/>
      <c r="AM109" s="26">
        <f>165506.98+493.02</f>
        <v>166000</v>
      </c>
      <c r="AN109" s="26"/>
      <c r="AO109" s="67">
        <f t="shared" si="118"/>
        <v>166000</v>
      </c>
      <c r="AP109" s="67">
        <f t="shared" si="119"/>
        <v>0</v>
      </c>
      <c r="AQ109" s="67">
        <f t="shared" si="120"/>
        <v>166000</v>
      </c>
      <c r="AR109" s="26">
        <f>-493.02</f>
        <v>-493.02</v>
      </c>
      <c r="AS109" s="26"/>
      <c r="AT109" s="26"/>
      <c r="AU109" s="26"/>
      <c r="AV109" s="26"/>
      <c r="AW109" s="26">
        <f t="shared" si="121"/>
        <v>165506.98000000001</v>
      </c>
      <c r="AX109" s="14" t="s">
        <v>50</v>
      </c>
      <c r="AY109" s="4">
        <v>183852.28</v>
      </c>
      <c r="AZ109" s="4">
        <f t="shared" si="177"/>
        <v>-18345.299999999988</v>
      </c>
    </row>
    <row r="110" spans="1:53" s="5" customFormat="1" ht="41.25" customHeight="1">
      <c r="A110" s="152"/>
      <c r="B110" s="133"/>
      <c r="C110" s="134"/>
      <c r="D110" s="7"/>
      <c r="E110" s="36"/>
      <c r="F110" s="7"/>
      <c r="G110" s="7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66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66">
        <f t="shared" si="118"/>
        <v>0</v>
      </c>
      <c r="AP110" s="66">
        <f t="shared" si="119"/>
        <v>0</v>
      </c>
      <c r="AQ110" s="66">
        <f t="shared" si="120"/>
        <v>0</v>
      </c>
      <c r="AR110" s="9"/>
      <c r="AS110" s="9"/>
      <c r="AT110" s="9"/>
      <c r="AU110" s="9"/>
      <c r="AV110" s="9"/>
      <c r="AW110" s="9">
        <f t="shared" si="121"/>
        <v>0</v>
      </c>
      <c r="AX110" s="10"/>
    </row>
    <row r="111" spans="1:53" s="4" customFormat="1" ht="41.25" customHeight="1">
      <c r="A111" s="152"/>
      <c r="B111" s="133"/>
      <c r="C111" s="134"/>
      <c r="D111" s="25"/>
      <c r="E111" s="25"/>
      <c r="F111" s="37"/>
      <c r="G111" s="25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67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67">
        <f t="shared" si="118"/>
        <v>0</v>
      </c>
      <c r="AP111" s="67">
        <f t="shared" si="119"/>
        <v>0</v>
      </c>
      <c r="AQ111" s="67">
        <f t="shared" si="120"/>
        <v>0</v>
      </c>
      <c r="AR111" s="26"/>
      <c r="AS111" s="26"/>
      <c r="AT111" s="26"/>
      <c r="AU111" s="26"/>
      <c r="AV111" s="26"/>
      <c r="AW111" s="26">
        <f t="shared" si="121"/>
        <v>0</v>
      </c>
      <c r="AX111" s="14"/>
    </row>
    <row r="112" spans="1:53" s="5" customFormat="1">
      <c r="A112" s="132" t="s">
        <v>257</v>
      </c>
      <c r="B112" s="134" t="s">
        <v>87</v>
      </c>
      <c r="C112" s="134">
        <v>84</v>
      </c>
      <c r="D112" s="7" t="s">
        <v>21</v>
      </c>
      <c r="E112" s="7">
        <v>480201</v>
      </c>
      <c r="F112" s="8" t="s">
        <v>35</v>
      </c>
      <c r="G112" s="7">
        <v>108718</v>
      </c>
      <c r="H112" s="9">
        <v>12274.28</v>
      </c>
      <c r="I112" s="9"/>
      <c r="J112" s="9"/>
      <c r="K112" s="9"/>
      <c r="L112" s="9"/>
      <c r="M112" s="9">
        <f t="shared" si="176"/>
        <v>0</v>
      </c>
      <c r="N112" s="9"/>
      <c r="O112" s="9">
        <f>H112+N112</f>
        <v>12274.28</v>
      </c>
      <c r="P112" s="9"/>
      <c r="Q112" s="9"/>
      <c r="R112" s="9"/>
      <c r="S112" s="9"/>
      <c r="T112" s="9"/>
      <c r="U112" s="9"/>
      <c r="V112" s="9">
        <f t="shared" si="200"/>
        <v>12274.28</v>
      </c>
      <c r="W112" s="9"/>
      <c r="X112" s="9"/>
      <c r="Y112" s="9"/>
      <c r="Z112" s="9"/>
      <c r="AA112" s="9"/>
      <c r="AB112" s="9"/>
      <c r="AC112" s="9"/>
      <c r="AD112" s="66">
        <f t="shared" ref="AD112:AD249" si="214">SUM(W112:Z112)</f>
        <v>0</v>
      </c>
      <c r="AE112" s="9">
        <v>0</v>
      </c>
      <c r="AF112" s="9">
        <f t="shared" ref="AF112:AF114" si="215">V112+AE112</f>
        <v>12274.28</v>
      </c>
      <c r="AG112" s="9"/>
      <c r="AH112" s="9"/>
      <c r="AI112" s="9"/>
      <c r="AJ112" s="9"/>
      <c r="AK112" s="9"/>
      <c r="AL112" s="9"/>
      <c r="AM112" s="9"/>
      <c r="AN112" s="9"/>
      <c r="AO112" s="66">
        <f t="shared" si="118"/>
        <v>0</v>
      </c>
      <c r="AP112" s="66">
        <f t="shared" si="119"/>
        <v>0</v>
      </c>
      <c r="AQ112" s="66">
        <f t="shared" si="120"/>
        <v>0</v>
      </c>
      <c r="AR112" s="9"/>
      <c r="AS112" s="9"/>
      <c r="AT112" s="9"/>
      <c r="AU112" s="9"/>
      <c r="AV112" s="9"/>
      <c r="AW112" s="9">
        <f t="shared" si="121"/>
        <v>12274.28</v>
      </c>
      <c r="AX112" s="10" t="s">
        <v>32</v>
      </c>
      <c r="AY112" s="5">
        <v>12274.28</v>
      </c>
      <c r="AZ112" s="11">
        <f t="shared" si="177"/>
        <v>0</v>
      </c>
    </row>
    <row r="113" spans="1:52" s="5" customFormat="1">
      <c r="A113" s="132"/>
      <c r="B113" s="134"/>
      <c r="C113" s="134"/>
      <c r="D113" s="7" t="s">
        <v>21</v>
      </c>
      <c r="E113" s="7">
        <v>480201</v>
      </c>
      <c r="F113" s="8" t="s">
        <v>36</v>
      </c>
      <c r="G113" s="7">
        <v>108718</v>
      </c>
      <c r="H113" s="9"/>
      <c r="I113" s="9"/>
      <c r="J113" s="9"/>
      <c r="K113" s="9"/>
      <c r="L113" s="9"/>
      <c r="M113" s="9">
        <f t="shared" si="176"/>
        <v>0</v>
      </c>
      <c r="N113" s="9"/>
      <c r="O113" s="9">
        <f t="shared" ref="O113:O114" si="216">H113+N113</f>
        <v>0</v>
      </c>
      <c r="P113" s="9"/>
      <c r="Q113" s="9"/>
      <c r="R113" s="9"/>
      <c r="S113" s="9"/>
      <c r="T113" s="9"/>
      <c r="U113" s="9"/>
      <c r="V113" s="9">
        <f t="shared" si="200"/>
        <v>0</v>
      </c>
      <c r="W113" s="9"/>
      <c r="X113" s="9"/>
      <c r="Y113" s="9"/>
      <c r="Z113" s="9"/>
      <c r="AA113" s="9"/>
      <c r="AB113" s="9"/>
      <c r="AC113" s="9"/>
      <c r="AD113" s="66">
        <f t="shared" si="214"/>
        <v>0</v>
      </c>
      <c r="AE113" s="9">
        <v>0</v>
      </c>
      <c r="AF113" s="9">
        <f t="shared" si="215"/>
        <v>0</v>
      </c>
      <c r="AG113" s="9"/>
      <c r="AH113" s="9"/>
      <c r="AI113" s="9"/>
      <c r="AJ113" s="9"/>
      <c r="AK113" s="9"/>
      <c r="AL113" s="9"/>
      <c r="AM113" s="9"/>
      <c r="AN113" s="9"/>
      <c r="AO113" s="66">
        <f t="shared" si="118"/>
        <v>0</v>
      </c>
      <c r="AP113" s="66">
        <f t="shared" si="119"/>
        <v>0</v>
      </c>
      <c r="AQ113" s="66">
        <f t="shared" si="120"/>
        <v>0</v>
      </c>
      <c r="AR113" s="9"/>
      <c r="AS113" s="9"/>
      <c r="AT113" s="9"/>
      <c r="AU113" s="9"/>
      <c r="AV113" s="9"/>
      <c r="AW113" s="9">
        <f t="shared" si="121"/>
        <v>0</v>
      </c>
      <c r="AX113" s="10" t="s">
        <v>32</v>
      </c>
      <c r="AY113" s="5">
        <v>0</v>
      </c>
      <c r="AZ113" s="5">
        <f t="shared" si="177"/>
        <v>0</v>
      </c>
    </row>
    <row r="114" spans="1:52" s="5" customFormat="1" ht="180">
      <c r="A114" s="132"/>
      <c r="B114" s="134"/>
      <c r="C114" s="134"/>
      <c r="D114" s="7" t="s">
        <v>21</v>
      </c>
      <c r="E114" s="7" t="s">
        <v>37</v>
      </c>
      <c r="F114" s="8" t="s">
        <v>38</v>
      </c>
      <c r="G114" s="7">
        <v>108718</v>
      </c>
      <c r="H114" s="9">
        <v>1877.24</v>
      </c>
      <c r="I114" s="9"/>
      <c r="J114" s="9"/>
      <c r="K114" s="9"/>
      <c r="L114" s="9"/>
      <c r="M114" s="9">
        <f t="shared" si="176"/>
        <v>0</v>
      </c>
      <c r="N114" s="9"/>
      <c r="O114" s="9">
        <f t="shared" si="216"/>
        <v>1877.24</v>
      </c>
      <c r="P114" s="9"/>
      <c r="Q114" s="9"/>
      <c r="R114" s="9"/>
      <c r="S114" s="9"/>
      <c r="T114" s="9"/>
      <c r="U114" s="9"/>
      <c r="V114" s="9">
        <f t="shared" si="200"/>
        <v>1877.24</v>
      </c>
      <c r="W114" s="9"/>
      <c r="X114" s="9"/>
      <c r="Y114" s="9"/>
      <c r="Z114" s="9"/>
      <c r="AA114" s="9"/>
      <c r="AB114" s="9"/>
      <c r="AC114" s="9"/>
      <c r="AD114" s="66">
        <f t="shared" si="214"/>
        <v>0</v>
      </c>
      <c r="AE114" s="9">
        <v>0</v>
      </c>
      <c r="AF114" s="9">
        <f t="shared" si="215"/>
        <v>1877.24</v>
      </c>
      <c r="AG114" s="9"/>
      <c r="AH114" s="9"/>
      <c r="AI114" s="9"/>
      <c r="AJ114" s="9"/>
      <c r="AK114" s="9"/>
      <c r="AL114" s="9"/>
      <c r="AM114" s="9"/>
      <c r="AN114" s="9"/>
      <c r="AO114" s="66">
        <f t="shared" si="118"/>
        <v>0</v>
      </c>
      <c r="AP114" s="66">
        <f t="shared" si="119"/>
        <v>0</v>
      </c>
      <c r="AQ114" s="66">
        <f t="shared" si="120"/>
        <v>0</v>
      </c>
      <c r="AR114" s="9"/>
      <c r="AS114" s="9"/>
      <c r="AT114" s="9"/>
      <c r="AU114" s="9"/>
      <c r="AV114" s="9"/>
      <c r="AW114" s="9">
        <f t="shared" si="121"/>
        <v>1877.24</v>
      </c>
      <c r="AX114" s="10" t="s">
        <v>32</v>
      </c>
      <c r="AY114" s="5">
        <v>1877.24</v>
      </c>
      <c r="AZ114" s="5">
        <f t="shared" si="177"/>
        <v>0</v>
      </c>
    </row>
    <row r="115" spans="1:52" s="5" customFormat="1">
      <c r="A115" s="132"/>
      <c r="B115" s="134"/>
      <c r="C115" s="134"/>
      <c r="D115" s="7" t="s">
        <v>21</v>
      </c>
      <c r="E115" s="36"/>
      <c r="F115" s="7" t="s">
        <v>19</v>
      </c>
      <c r="G115" s="7">
        <v>108718</v>
      </c>
      <c r="H115" s="9">
        <f>H123-H112-H114</f>
        <v>1259005.94</v>
      </c>
      <c r="I115" s="9">
        <f t="shared" ref="I115:N115" si="217">I123-I112-I114</f>
        <v>1000000</v>
      </c>
      <c r="J115" s="9">
        <f t="shared" si="217"/>
        <v>0</v>
      </c>
      <c r="K115" s="9">
        <f t="shared" si="217"/>
        <v>0</v>
      </c>
      <c r="L115" s="9">
        <f t="shared" si="217"/>
        <v>0</v>
      </c>
      <c r="M115" s="9">
        <f t="shared" si="217"/>
        <v>1000000</v>
      </c>
      <c r="N115" s="9">
        <f t="shared" si="217"/>
        <v>134214.28</v>
      </c>
      <c r="O115" s="9">
        <f t="shared" ref="O115:S115" si="218">O123-O112-O114</f>
        <v>1393220.22</v>
      </c>
      <c r="P115" s="9">
        <f t="shared" si="218"/>
        <v>100000</v>
      </c>
      <c r="Q115" s="9">
        <f t="shared" si="218"/>
        <v>0</v>
      </c>
      <c r="R115" s="9">
        <f t="shared" si="218"/>
        <v>0</v>
      </c>
      <c r="S115" s="9">
        <f t="shared" si="218"/>
        <v>0</v>
      </c>
      <c r="T115" s="9">
        <f>T123-T112-T114</f>
        <v>100000</v>
      </c>
      <c r="U115" s="9">
        <f t="shared" ref="U115:V115" si="219">U123-U112-U114</f>
        <v>0</v>
      </c>
      <c r="V115" s="9">
        <f t="shared" si="219"/>
        <v>1393220.22</v>
      </c>
      <c r="W115" s="9">
        <f t="shared" ref="W115:AD115" si="220">W123-W112-W114</f>
        <v>0</v>
      </c>
      <c r="X115" s="9">
        <f t="shared" si="220"/>
        <v>0</v>
      </c>
      <c r="Y115" s="9">
        <f t="shared" si="220"/>
        <v>0</v>
      </c>
      <c r="Z115" s="9">
        <f t="shared" si="220"/>
        <v>0</v>
      </c>
      <c r="AA115" s="9"/>
      <c r="AB115" s="9"/>
      <c r="AC115" s="9"/>
      <c r="AD115" s="66">
        <f t="shared" si="220"/>
        <v>0</v>
      </c>
      <c r="AE115" s="9">
        <f t="shared" ref="AE115:AF115" si="221">AE123-AE112-AE114</f>
        <v>0</v>
      </c>
      <c r="AF115" s="9">
        <f t="shared" si="221"/>
        <v>1393220.22</v>
      </c>
      <c r="AG115" s="9">
        <f t="shared" ref="AG115:AW115" si="222">AG123-AG112-AG114</f>
        <v>2000000</v>
      </c>
      <c r="AH115" s="9">
        <f t="shared" si="222"/>
        <v>0</v>
      </c>
      <c r="AI115" s="9">
        <f t="shared" si="222"/>
        <v>0</v>
      </c>
      <c r="AJ115" s="9">
        <f t="shared" si="222"/>
        <v>0</v>
      </c>
      <c r="AK115" s="9">
        <f t="shared" si="222"/>
        <v>0</v>
      </c>
      <c r="AL115" s="9">
        <f t="shared" si="222"/>
        <v>0</v>
      </c>
      <c r="AM115" s="9">
        <f t="shared" si="222"/>
        <v>0</v>
      </c>
      <c r="AN115" s="9">
        <f t="shared" si="222"/>
        <v>0</v>
      </c>
      <c r="AO115" s="66">
        <f t="shared" si="222"/>
        <v>2000000</v>
      </c>
      <c r="AP115" s="66">
        <f t="shared" si="222"/>
        <v>0</v>
      </c>
      <c r="AQ115" s="66">
        <f t="shared" si="222"/>
        <v>2000000</v>
      </c>
      <c r="AR115" s="9">
        <f t="shared" si="222"/>
        <v>0</v>
      </c>
      <c r="AS115" s="9">
        <f t="shared" si="222"/>
        <v>0</v>
      </c>
      <c r="AT115" s="9">
        <f t="shared" si="222"/>
        <v>0</v>
      </c>
      <c r="AU115" s="9">
        <f t="shared" si="222"/>
        <v>0</v>
      </c>
      <c r="AV115" s="9">
        <f t="shared" si="222"/>
        <v>0</v>
      </c>
      <c r="AW115" s="9">
        <f t="shared" si="222"/>
        <v>3393220.2199999997</v>
      </c>
      <c r="AX115" s="10" t="s">
        <v>32</v>
      </c>
      <c r="AY115" s="5">
        <v>1493220.22</v>
      </c>
      <c r="AZ115" s="5">
        <f t="shared" si="177"/>
        <v>1899999.9999999998</v>
      </c>
    </row>
    <row r="116" spans="1:52" s="5" customFormat="1">
      <c r="A116" s="132"/>
      <c r="B116" s="134"/>
      <c r="C116" s="134"/>
      <c r="D116" s="7" t="s">
        <v>21</v>
      </c>
      <c r="E116" s="7"/>
      <c r="F116" s="8" t="s">
        <v>34</v>
      </c>
      <c r="G116" s="7">
        <v>108718</v>
      </c>
      <c r="H116" s="9">
        <f>SUM(H112:H115)</f>
        <v>1273157.46</v>
      </c>
      <c r="I116" s="9">
        <f t="shared" ref="I116:N116" si="223">SUM(I112:I115)</f>
        <v>1000000</v>
      </c>
      <c r="J116" s="9">
        <f t="shared" si="223"/>
        <v>0</v>
      </c>
      <c r="K116" s="9">
        <f t="shared" si="223"/>
        <v>0</v>
      </c>
      <c r="L116" s="9">
        <f t="shared" si="223"/>
        <v>0</v>
      </c>
      <c r="M116" s="9">
        <f t="shared" si="223"/>
        <v>1000000</v>
      </c>
      <c r="N116" s="9">
        <f t="shared" si="223"/>
        <v>134214.28</v>
      </c>
      <c r="O116" s="9">
        <f t="shared" ref="O116:S116" si="224">SUM(O112:O115)</f>
        <v>1407371.74</v>
      </c>
      <c r="P116" s="9">
        <f t="shared" si="224"/>
        <v>100000</v>
      </c>
      <c r="Q116" s="9">
        <f t="shared" si="224"/>
        <v>0</v>
      </c>
      <c r="R116" s="9">
        <f t="shared" si="224"/>
        <v>0</v>
      </c>
      <c r="S116" s="9">
        <f t="shared" si="224"/>
        <v>0</v>
      </c>
      <c r="T116" s="9">
        <f>SUM(T112:T115)</f>
        <v>100000</v>
      </c>
      <c r="U116" s="9">
        <f t="shared" ref="U116:V116" si="225">SUM(U112:U115)</f>
        <v>0</v>
      </c>
      <c r="V116" s="9">
        <f t="shared" si="225"/>
        <v>1407371.74</v>
      </c>
      <c r="W116" s="9">
        <f t="shared" ref="W116:AD116" si="226">SUM(W112:W115)</f>
        <v>0</v>
      </c>
      <c r="X116" s="9">
        <f t="shared" si="226"/>
        <v>0</v>
      </c>
      <c r="Y116" s="9">
        <f t="shared" si="226"/>
        <v>0</v>
      </c>
      <c r="Z116" s="9">
        <f t="shared" si="226"/>
        <v>0</v>
      </c>
      <c r="AA116" s="9"/>
      <c r="AB116" s="9"/>
      <c r="AC116" s="9"/>
      <c r="AD116" s="66">
        <f t="shared" si="226"/>
        <v>0</v>
      </c>
      <c r="AE116" s="9">
        <f t="shared" ref="AE116:AF116" si="227">SUM(AE112:AE115)</f>
        <v>0</v>
      </c>
      <c r="AF116" s="9">
        <f t="shared" si="227"/>
        <v>1407371.74</v>
      </c>
      <c r="AG116" s="9">
        <f t="shared" ref="AG116:AW116" si="228">SUM(AG112:AG115)</f>
        <v>2000000</v>
      </c>
      <c r="AH116" s="9">
        <f t="shared" si="228"/>
        <v>0</v>
      </c>
      <c r="AI116" s="9">
        <f t="shared" si="228"/>
        <v>0</v>
      </c>
      <c r="AJ116" s="9">
        <f t="shared" si="228"/>
        <v>0</v>
      </c>
      <c r="AK116" s="9">
        <f t="shared" si="228"/>
        <v>0</v>
      </c>
      <c r="AL116" s="9">
        <f t="shared" si="228"/>
        <v>0</v>
      </c>
      <c r="AM116" s="9">
        <f t="shared" si="228"/>
        <v>0</v>
      </c>
      <c r="AN116" s="9">
        <f t="shared" si="228"/>
        <v>0</v>
      </c>
      <c r="AO116" s="66">
        <f t="shared" si="228"/>
        <v>2000000</v>
      </c>
      <c r="AP116" s="66">
        <f t="shared" si="228"/>
        <v>0</v>
      </c>
      <c r="AQ116" s="66">
        <f t="shared" si="228"/>
        <v>2000000</v>
      </c>
      <c r="AR116" s="9">
        <f t="shared" si="228"/>
        <v>0</v>
      </c>
      <c r="AS116" s="9">
        <f t="shared" si="228"/>
        <v>0</v>
      </c>
      <c r="AT116" s="9">
        <f t="shared" si="228"/>
        <v>0</v>
      </c>
      <c r="AU116" s="9">
        <f t="shared" si="228"/>
        <v>0</v>
      </c>
      <c r="AV116" s="9">
        <f t="shared" si="228"/>
        <v>0</v>
      </c>
      <c r="AW116" s="9">
        <f t="shared" si="228"/>
        <v>3407371.7399999998</v>
      </c>
      <c r="AX116" s="10" t="s">
        <v>32</v>
      </c>
      <c r="AY116" s="5">
        <v>1507371.74</v>
      </c>
      <c r="AZ116" s="5">
        <f t="shared" si="177"/>
        <v>1899999.9999999998</v>
      </c>
    </row>
    <row r="117" spans="1:52" s="4" customFormat="1" ht="30">
      <c r="A117" s="132"/>
      <c r="B117" s="134"/>
      <c r="C117" s="134"/>
      <c r="D117" s="25" t="s">
        <v>22</v>
      </c>
      <c r="E117" s="25">
        <v>580101</v>
      </c>
      <c r="F117" s="37" t="s">
        <v>41</v>
      </c>
      <c r="G117" s="25">
        <v>108718</v>
      </c>
      <c r="H117" s="26">
        <f>SUM(H118:H119)</f>
        <v>22011.490000000005</v>
      </c>
      <c r="I117" s="26">
        <f t="shared" ref="I117:S117" si="229">SUM(I118:I119)</f>
        <v>0</v>
      </c>
      <c r="J117" s="26">
        <f t="shared" si="229"/>
        <v>0</v>
      </c>
      <c r="K117" s="26">
        <f t="shared" si="229"/>
        <v>0</v>
      </c>
      <c r="L117" s="26">
        <f t="shared" si="229"/>
        <v>0</v>
      </c>
      <c r="M117" s="26">
        <f t="shared" si="176"/>
        <v>0</v>
      </c>
      <c r="N117" s="26">
        <f t="shared" si="229"/>
        <v>0</v>
      </c>
      <c r="O117" s="26">
        <f t="shared" si="229"/>
        <v>22011.490000000005</v>
      </c>
      <c r="P117" s="26">
        <f t="shared" si="229"/>
        <v>0</v>
      </c>
      <c r="Q117" s="26">
        <f t="shared" si="229"/>
        <v>0</v>
      </c>
      <c r="R117" s="26">
        <f t="shared" si="229"/>
        <v>0</v>
      </c>
      <c r="S117" s="26">
        <f t="shared" si="229"/>
        <v>0</v>
      </c>
      <c r="T117" s="26">
        <f>SUM(T118:T119)</f>
        <v>0</v>
      </c>
      <c r="U117" s="26">
        <f t="shared" ref="U117:V117" si="230">SUM(U118:U119)</f>
        <v>0</v>
      </c>
      <c r="V117" s="26">
        <f t="shared" si="230"/>
        <v>22011.490000000005</v>
      </c>
      <c r="W117" s="26"/>
      <c r="X117" s="26"/>
      <c r="Y117" s="26"/>
      <c r="Z117" s="26"/>
      <c r="AA117" s="26"/>
      <c r="AB117" s="26"/>
      <c r="AC117" s="26"/>
      <c r="AD117" s="67">
        <f t="shared" si="214"/>
        <v>0</v>
      </c>
      <c r="AE117" s="26">
        <f t="shared" ref="AE117" si="231">SUM(AE118:AE119)</f>
        <v>0</v>
      </c>
      <c r="AF117" s="26">
        <f>SUM(AF118:AF119)</f>
        <v>22011.490000000005</v>
      </c>
      <c r="AG117" s="26">
        <f t="shared" ref="AG117:AW117" si="232">SUM(AG118:AG119)</f>
        <v>0</v>
      </c>
      <c r="AH117" s="26">
        <f t="shared" si="232"/>
        <v>0</v>
      </c>
      <c r="AI117" s="26">
        <f t="shared" si="232"/>
        <v>0</v>
      </c>
      <c r="AJ117" s="26">
        <f t="shared" si="232"/>
        <v>0</v>
      </c>
      <c r="AK117" s="26">
        <f t="shared" si="232"/>
        <v>0</v>
      </c>
      <c r="AL117" s="26">
        <f t="shared" si="232"/>
        <v>0</v>
      </c>
      <c r="AM117" s="26">
        <f t="shared" si="232"/>
        <v>0</v>
      </c>
      <c r="AN117" s="26">
        <f t="shared" si="232"/>
        <v>0</v>
      </c>
      <c r="AO117" s="67">
        <f t="shared" si="232"/>
        <v>0</v>
      </c>
      <c r="AP117" s="67">
        <f t="shared" si="232"/>
        <v>0</v>
      </c>
      <c r="AQ117" s="67">
        <f t="shared" si="232"/>
        <v>0</v>
      </c>
      <c r="AR117" s="26">
        <f t="shared" si="232"/>
        <v>0</v>
      </c>
      <c r="AS117" s="26">
        <f t="shared" si="232"/>
        <v>0</v>
      </c>
      <c r="AT117" s="26">
        <f t="shared" si="232"/>
        <v>0</v>
      </c>
      <c r="AU117" s="26">
        <f t="shared" si="232"/>
        <v>0</v>
      </c>
      <c r="AV117" s="26">
        <f t="shared" si="232"/>
        <v>0</v>
      </c>
      <c r="AW117" s="26">
        <f t="shared" si="232"/>
        <v>22011.490000000005</v>
      </c>
      <c r="AX117" s="14" t="s">
        <v>32</v>
      </c>
      <c r="AY117" s="4">
        <v>22011.490000000005</v>
      </c>
      <c r="AZ117" s="4">
        <f t="shared" si="177"/>
        <v>0</v>
      </c>
    </row>
    <row r="118" spans="1:52" s="4" customFormat="1">
      <c r="A118" s="132"/>
      <c r="B118" s="134"/>
      <c r="C118" s="134"/>
      <c r="D118" s="25"/>
      <c r="E118" s="25"/>
      <c r="F118" s="37" t="s">
        <v>23</v>
      </c>
      <c r="G118" s="25">
        <v>108718</v>
      </c>
      <c r="H118" s="26">
        <v>2934.8653333333336</v>
      </c>
      <c r="I118" s="26"/>
      <c r="J118" s="26"/>
      <c r="K118" s="26"/>
      <c r="L118" s="26"/>
      <c r="M118" s="26">
        <f t="shared" si="176"/>
        <v>0</v>
      </c>
      <c r="N118" s="26"/>
      <c r="O118" s="26">
        <f>H118+N118</f>
        <v>2934.8653333333336</v>
      </c>
      <c r="P118" s="26"/>
      <c r="Q118" s="26"/>
      <c r="R118" s="26"/>
      <c r="S118" s="26"/>
      <c r="T118" s="26">
        <f t="shared" ref="T118:T121" si="233">SUM(P118:S118)</f>
        <v>0</v>
      </c>
      <c r="U118" s="26"/>
      <c r="V118" s="26">
        <f t="shared" ref="V118:V122" si="234">O118+U118</f>
        <v>2934.8653333333336</v>
      </c>
      <c r="W118" s="26"/>
      <c r="X118" s="26"/>
      <c r="Y118" s="26"/>
      <c r="Z118" s="26"/>
      <c r="AA118" s="26"/>
      <c r="AB118" s="26"/>
      <c r="AC118" s="26"/>
      <c r="AD118" s="67">
        <f t="shared" si="214"/>
        <v>0</v>
      </c>
      <c r="AE118" s="26">
        <v>0</v>
      </c>
      <c r="AF118" s="26">
        <f t="shared" ref="AF118:AF126" si="235">V118+AE118</f>
        <v>2934.8653333333336</v>
      </c>
      <c r="AG118" s="26"/>
      <c r="AH118" s="26"/>
      <c r="AI118" s="26"/>
      <c r="AJ118" s="26"/>
      <c r="AK118" s="26"/>
      <c r="AL118" s="26"/>
      <c r="AM118" s="26"/>
      <c r="AN118" s="26"/>
      <c r="AO118" s="67">
        <f t="shared" si="118"/>
        <v>0</v>
      </c>
      <c r="AP118" s="67">
        <f t="shared" si="119"/>
        <v>0</v>
      </c>
      <c r="AQ118" s="67">
        <f t="shared" si="120"/>
        <v>0</v>
      </c>
      <c r="AR118" s="26"/>
      <c r="AS118" s="26"/>
      <c r="AT118" s="26"/>
      <c r="AU118" s="26"/>
      <c r="AV118" s="26"/>
      <c r="AW118" s="26">
        <f t="shared" si="121"/>
        <v>2934.8653333333336</v>
      </c>
      <c r="AX118" s="14" t="s">
        <v>32</v>
      </c>
      <c r="AY118" s="4">
        <v>2934.8653333333336</v>
      </c>
      <c r="AZ118" s="4">
        <f t="shared" si="177"/>
        <v>0</v>
      </c>
    </row>
    <row r="119" spans="1:52" s="4" customFormat="1">
      <c r="A119" s="132"/>
      <c r="B119" s="134"/>
      <c r="C119" s="134"/>
      <c r="D119" s="25"/>
      <c r="E119" s="25"/>
      <c r="F119" s="37" t="s">
        <v>42</v>
      </c>
      <c r="G119" s="25">
        <v>108718</v>
      </c>
      <c r="H119" s="26">
        <v>19076.62466666667</v>
      </c>
      <c r="I119" s="26"/>
      <c r="J119" s="26"/>
      <c r="K119" s="26"/>
      <c r="L119" s="26"/>
      <c r="M119" s="26">
        <f t="shared" si="176"/>
        <v>0</v>
      </c>
      <c r="N119" s="26"/>
      <c r="O119" s="26">
        <f t="shared" ref="O119:O126" si="236">H119+N119</f>
        <v>19076.62466666667</v>
      </c>
      <c r="P119" s="26"/>
      <c r="Q119" s="26"/>
      <c r="R119" s="26"/>
      <c r="S119" s="26"/>
      <c r="T119" s="26">
        <f t="shared" si="233"/>
        <v>0</v>
      </c>
      <c r="U119" s="26"/>
      <c r="V119" s="26">
        <f t="shared" si="234"/>
        <v>19076.62466666667</v>
      </c>
      <c r="W119" s="26"/>
      <c r="X119" s="26"/>
      <c r="Y119" s="26"/>
      <c r="Z119" s="26"/>
      <c r="AA119" s="26"/>
      <c r="AB119" s="26"/>
      <c r="AC119" s="26"/>
      <c r="AD119" s="67">
        <f t="shared" si="214"/>
        <v>0</v>
      </c>
      <c r="AE119" s="26">
        <v>0</v>
      </c>
      <c r="AF119" s="26">
        <f t="shared" si="235"/>
        <v>19076.62466666667</v>
      </c>
      <c r="AG119" s="26"/>
      <c r="AH119" s="26"/>
      <c r="AI119" s="26"/>
      <c r="AJ119" s="26"/>
      <c r="AK119" s="26"/>
      <c r="AL119" s="26"/>
      <c r="AM119" s="26"/>
      <c r="AN119" s="26"/>
      <c r="AO119" s="67">
        <f t="shared" ref="AO119:AO184" si="237">AG119+AI119+AK119+AM119</f>
        <v>0</v>
      </c>
      <c r="AP119" s="67">
        <f t="shared" ref="AP119:AP184" si="238">AH119+AJ119+AL119+AN119</f>
        <v>0</v>
      </c>
      <c r="AQ119" s="67">
        <f t="shared" ref="AQ119:AQ184" si="239">AO119+AP119</f>
        <v>0</v>
      </c>
      <c r="AR119" s="26"/>
      <c r="AS119" s="26"/>
      <c r="AT119" s="26"/>
      <c r="AU119" s="26"/>
      <c r="AV119" s="26"/>
      <c r="AW119" s="26">
        <f t="shared" ref="AW119:AW184" si="240">AF119+AQ119+AR119+AS119+AT119+AU119+AV119</f>
        <v>19076.62466666667</v>
      </c>
      <c r="AX119" s="14" t="s">
        <v>32</v>
      </c>
      <c r="AY119" s="4">
        <v>19076.62466666667</v>
      </c>
      <c r="AZ119" s="4">
        <f t="shared" si="177"/>
        <v>0</v>
      </c>
    </row>
    <row r="120" spans="1:52" s="4" customFormat="1" ht="30">
      <c r="A120" s="132"/>
      <c r="B120" s="134"/>
      <c r="C120" s="134"/>
      <c r="D120" s="25" t="s">
        <v>22</v>
      </c>
      <c r="E120" s="25">
        <v>580102</v>
      </c>
      <c r="F120" s="37" t="s">
        <v>31</v>
      </c>
      <c r="G120" s="25">
        <v>108718</v>
      </c>
      <c r="H120" s="26">
        <v>124731.78</v>
      </c>
      <c r="I120" s="26"/>
      <c r="J120" s="26"/>
      <c r="K120" s="26"/>
      <c r="L120" s="26"/>
      <c r="M120" s="26">
        <f t="shared" si="176"/>
        <v>0</v>
      </c>
      <c r="N120" s="26"/>
      <c r="O120" s="26">
        <f t="shared" si="236"/>
        <v>124731.78</v>
      </c>
      <c r="P120" s="26"/>
      <c r="Q120" s="26"/>
      <c r="R120" s="26"/>
      <c r="S120" s="26"/>
      <c r="T120" s="26">
        <f t="shared" si="233"/>
        <v>0</v>
      </c>
      <c r="U120" s="26"/>
      <c r="V120" s="26">
        <f t="shared" si="234"/>
        <v>124731.78</v>
      </c>
      <c r="W120" s="26"/>
      <c r="X120" s="26"/>
      <c r="Y120" s="26"/>
      <c r="Z120" s="26"/>
      <c r="AA120" s="26"/>
      <c r="AB120" s="26"/>
      <c r="AC120" s="26"/>
      <c r="AD120" s="67">
        <f t="shared" si="214"/>
        <v>0</v>
      </c>
      <c r="AE120" s="26">
        <v>0</v>
      </c>
      <c r="AF120" s="26">
        <f t="shared" si="235"/>
        <v>124731.78</v>
      </c>
      <c r="AG120" s="26"/>
      <c r="AH120" s="26"/>
      <c r="AI120" s="26"/>
      <c r="AJ120" s="26"/>
      <c r="AK120" s="26"/>
      <c r="AL120" s="26"/>
      <c r="AM120" s="26"/>
      <c r="AN120" s="26"/>
      <c r="AO120" s="67">
        <f t="shared" si="237"/>
        <v>0</v>
      </c>
      <c r="AP120" s="67">
        <f t="shared" si="238"/>
        <v>0</v>
      </c>
      <c r="AQ120" s="67">
        <f t="shared" si="239"/>
        <v>0</v>
      </c>
      <c r="AR120" s="26"/>
      <c r="AS120" s="26"/>
      <c r="AT120" s="26"/>
      <c r="AU120" s="26"/>
      <c r="AV120" s="26"/>
      <c r="AW120" s="26">
        <f t="shared" si="240"/>
        <v>124731.78</v>
      </c>
      <c r="AX120" s="14" t="s">
        <v>32</v>
      </c>
      <c r="AY120" s="4">
        <v>124731.78</v>
      </c>
      <c r="AZ120" s="4">
        <f t="shared" si="177"/>
        <v>0</v>
      </c>
    </row>
    <row r="121" spans="1:52" s="4" customFormat="1">
      <c r="A121" s="132"/>
      <c r="B121" s="134"/>
      <c r="C121" s="134"/>
      <c r="D121" s="25" t="s">
        <v>22</v>
      </c>
      <c r="E121" s="25">
        <v>580103</v>
      </c>
      <c r="F121" s="37" t="s">
        <v>28</v>
      </c>
      <c r="G121" s="25">
        <v>108718</v>
      </c>
      <c r="H121" s="26">
        <v>88897</v>
      </c>
      <c r="I121" s="26"/>
      <c r="J121" s="26"/>
      <c r="K121" s="26"/>
      <c r="L121" s="26"/>
      <c r="M121" s="26">
        <f t="shared" si="176"/>
        <v>0</v>
      </c>
      <c r="N121" s="26"/>
      <c r="O121" s="26">
        <f t="shared" si="236"/>
        <v>88897</v>
      </c>
      <c r="P121" s="26"/>
      <c r="Q121" s="26"/>
      <c r="R121" s="26"/>
      <c r="S121" s="26"/>
      <c r="T121" s="26">
        <f t="shared" si="233"/>
        <v>0</v>
      </c>
      <c r="U121" s="26"/>
      <c r="V121" s="26">
        <f t="shared" si="234"/>
        <v>88897</v>
      </c>
      <c r="W121" s="26"/>
      <c r="X121" s="26"/>
      <c r="Y121" s="26"/>
      <c r="Z121" s="26"/>
      <c r="AA121" s="26"/>
      <c r="AB121" s="26"/>
      <c r="AC121" s="26"/>
      <c r="AD121" s="67">
        <f t="shared" si="214"/>
        <v>0</v>
      </c>
      <c r="AE121" s="26">
        <v>0</v>
      </c>
      <c r="AF121" s="26">
        <f t="shared" si="235"/>
        <v>88897</v>
      </c>
      <c r="AG121" s="26"/>
      <c r="AH121" s="26"/>
      <c r="AI121" s="26"/>
      <c r="AJ121" s="26"/>
      <c r="AK121" s="26"/>
      <c r="AL121" s="26"/>
      <c r="AM121" s="26"/>
      <c r="AN121" s="26"/>
      <c r="AO121" s="67">
        <f t="shared" si="237"/>
        <v>0</v>
      </c>
      <c r="AP121" s="67">
        <f t="shared" si="238"/>
        <v>0</v>
      </c>
      <c r="AQ121" s="67">
        <f t="shared" si="239"/>
        <v>0</v>
      </c>
      <c r="AR121" s="26"/>
      <c r="AS121" s="26"/>
      <c r="AT121" s="26"/>
      <c r="AU121" s="26"/>
      <c r="AV121" s="26"/>
      <c r="AW121" s="26">
        <f t="shared" si="240"/>
        <v>88897</v>
      </c>
      <c r="AX121" s="14" t="s">
        <v>32</v>
      </c>
      <c r="AY121" s="4">
        <v>88897</v>
      </c>
      <c r="AZ121" s="4">
        <f t="shared" si="177"/>
        <v>0</v>
      </c>
    </row>
    <row r="122" spans="1:52" s="4" customFormat="1" ht="75">
      <c r="A122" s="132"/>
      <c r="B122" s="134"/>
      <c r="C122" s="134"/>
      <c r="D122" s="25" t="s">
        <v>22</v>
      </c>
      <c r="E122" s="37">
        <v>510250</v>
      </c>
      <c r="F122" s="37" t="s">
        <v>121</v>
      </c>
      <c r="G122" s="25">
        <v>108718</v>
      </c>
      <c r="H122" s="26">
        <f>451985.43+585531.76</f>
        <v>1037517.19</v>
      </c>
      <c r="I122" s="26">
        <v>1000000</v>
      </c>
      <c r="J122" s="26"/>
      <c r="K122" s="26"/>
      <c r="L122" s="26"/>
      <c r="M122" s="26">
        <f t="shared" si="176"/>
        <v>1000000</v>
      </c>
      <c r="N122" s="26">
        <v>134214.28</v>
      </c>
      <c r="O122" s="26">
        <f t="shared" si="236"/>
        <v>1171731.47</v>
      </c>
      <c r="P122" s="26">
        <f>2000000-1900000</f>
        <v>100000</v>
      </c>
      <c r="Q122" s="26"/>
      <c r="R122" s="26"/>
      <c r="S122" s="26"/>
      <c r="T122" s="26">
        <f>SUM(P122:S122)</f>
        <v>100000</v>
      </c>
      <c r="U122" s="26"/>
      <c r="V122" s="26">
        <f t="shared" si="234"/>
        <v>1171731.47</v>
      </c>
      <c r="W122" s="26"/>
      <c r="X122" s="26"/>
      <c r="Y122" s="26"/>
      <c r="Z122" s="26"/>
      <c r="AA122" s="26"/>
      <c r="AB122" s="26"/>
      <c r="AC122" s="26"/>
      <c r="AD122" s="67">
        <f t="shared" si="214"/>
        <v>0</v>
      </c>
      <c r="AE122" s="26">
        <v>0</v>
      </c>
      <c r="AF122" s="26">
        <f t="shared" si="235"/>
        <v>1171731.47</v>
      </c>
      <c r="AG122" s="26">
        <v>2000000</v>
      </c>
      <c r="AH122" s="26"/>
      <c r="AI122" s="26"/>
      <c r="AJ122" s="26"/>
      <c r="AK122" s="26"/>
      <c r="AL122" s="26"/>
      <c r="AM122" s="26"/>
      <c r="AN122" s="26"/>
      <c r="AO122" s="67">
        <f t="shared" si="237"/>
        <v>2000000</v>
      </c>
      <c r="AP122" s="67">
        <f t="shared" si="238"/>
        <v>0</v>
      </c>
      <c r="AQ122" s="67">
        <f t="shared" si="239"/>
        <v>2000000</v>
      </c>
      <c r="AR122" s="26"/>
      <c r="AS122" s="26"/>
      <c r="AT122" s="26"/>
      <c r="AU122" s="26"/>
      <c r="AV122" s="26"/>
      <c r="AW122" s="26">
        <f t="shared" si="240"/>
        <v>3171731.4699999997</v>
      </c>
      <c r="AX122" s="14" t="s">
        <v>32</v>
      </c>
      <c r="AY122" s="4">
        <v>1271731.47</v>
      </c>
      <c r="AZ122" s="4">
        <f t="shared" si="177"/>
        <v>1899999.9999999998</v>
      </c>
    </row>
    <row r="123" spans="1:52" s="4" customFormat="1">
      <c r="A123" s="132"/>
      <c r="B123" s="134"/>
      <c r="C123" s="134"/>
      <c r="D123" s="25" t="s">
        <v>22</v>
      </c>
      <c r="E123" s="14"/>
      <c r="F123" s="37" t="s">
        <v>29</v>
      </c>
      <c r="G123" s="25">
        <v>108718</v>
      </c>
      <c r="H123" s="26">
        <f>H117+H120+H121+H122</f>
        <v>1273157.46</v>
      </c>
      <c r="I123" s="26">
        <f t="shared" ref="I123:AW123" si="241">I117+I120+I121+I122</f>
        <v>1000000</v>
      </c>
      <c r="J123" s="26">
        <f t="shared" si="241"/>
        <v>0</v>
      </c>
      <c r="K123" s="26">
        <f t="shared" si="241"/>
        <v>0</v>
      </c>
      <c r="L123" s="26">
        <f t="shared" si="241"/>
        <v>0</v>
      </c>
      <c r="M123" s="26">
        <f t="shared" si="241"/>
        <v>1000000</v>
      </c>
      <c r="N123" s="26">
        <f t="shared" si="241"/>
        <v>134214.28</v>
      </c>
      <c r="O123" s="26">
        <f t="shared" si="241"/>
        <v>1407371.74</v>
      </c>
      <c r="P123" s="26">
        <f t="shared" si="241"/>
        <v>100000</v>
      </c>
      <c r="Q123" s="26">
        <f t="shared" si="241"/>
        <v>0</v>
      </c>
      <c r="R123" s="26">
        <f t="shared" si="241"/>
        <v>0</v>
      </c>
      <c r="S123" s="26">
        <f t="shared" si="241"/>
        <v>0</v>
      </c>
      <c r="T123" s="26">
        <f t="shared" si="241"/>
        <v>100000</v>
      </c>
      <c r="U123" s="26">
        <f t="shared" si="241"/>
        <v>0</v>
      </c>
      <c r="V123" s="26">
        <f t="shared" si="241"/>
        <v>1407371.74</v>
      </c>
      <c r="W123" s="26">
        <f t="shared" si="241"/>
        <v>0</v>
      </c>
      <c r="X123" s="26">
        <f t="shared" si="241"/>
        <v>0</v>
      </c>
      <c r="Y123" s="26">
        <f t="shared" si="241"/>
        <v>0</v>
      </c>
      <c r="Z123" s="26">
        <f t="shared" si="241"/>
        <v>0</v>
      </c>
      <c r="AA123" s="26"/>
      <c r="AB123" s="26"/>
      <c r="AC123" s="26"/>
      <c r="AD123" s="67">
        <f t="shared" si="241"/>
        <v>0</v>
      </c>
      <c r="AE123" s="26">
        <f t="shared" si="241"/>
        <v>0</v>
      </c>
      <c r="AF123" s="26">
        <f t="shared" si="241"/>
        <v>1407371.74</v>
      </c>
      <c r="AG123" s="26">
        <f t="shared" si="241"/>
        <v>2000000</v>
      </c>
      <c r="AH123" s="26">
        <f t="shared" si="241"/>
        <v>0</v>
      </c>
      <c r="AI123" s="26">
        <f t="shared" si="241"/>
        <v>0</v>
      </c>
      <c r="AJ123" s="26">
        <f t="shared" si="241"/>
        <v>0</v>
      </c>
      <c r="AK123" s="26">
        <f t="shared" si="241"/>
        <v>0</v>
      </c>
      <c r="AL123" s="26">
        <f t="shared" si="241"/>
        <v>0</v>
      </c>
      <c r="AM123" s="26">
        <f t="shared" si="241"/>
        <v>0</v>
      </c>
      <c r="AN123" s="26">
        <f t="shared" si="241"/>
        <v>0</v>
      </c>
      <c r="AO123" s="67">
        <f t="shared" si="241"/>
        <v>2000000</v>
      </c>
      <c r="AP123" s="67">
        <f t="shared" si="241"/>
        <v>0</v>
      </c>
      <c r="AQ123" s="67">
        <f t="shared" si="241"/>
        <v>2000000</v>
      </c>
      <c r="AR123" s="26">
        <f t="shared" si="241"/>
        <v>0</v>
      </c>
      <c r="AS123" s="26">
        <f t="shared" si="241"/>
        <v>0</v>
      </c>
      <c r="AT123" s="26">
        <f t="shared" si="241"/>
        <v>0</v>
      </c>
      <c r="AU123" s="26">
        <f t="shared" si="241"/>
        <v>0</v>
      </c>
      <c r="AV123" s="26">
        <f t="shared" si="241"/>
        <v>0</v>
      </c>
      <c r="AW123" s="26">
        <f t="shared" si="241"/>
        <v>3407371.7399999998</v>
      </c>
      <c r="AX123" s="14" t="s">
        <v>32</v>
      </c>
      <c r="AY123" s="4">
        <v>1507371.74</v>
      </c>
      <c r="AZ123" s="4">
        <f t="shared" si="177"/>
        <v>1899999.9999999998</v>
      </c>
    </row>
    <row r="124" spans="1:52" s="23" customFormat="1">
      <c r="A124" s="132" t="s">
        <v>258</v>
      </c>
      <c r="B124" s="134" t="s">
        <v>23</v>
      </c>
      <c r="C124" s="150">
        <v>84</v>
      </c>
      <c r="D124" s="7" t="s">
        <v>21</v>
      </c>
      <c r="E124" s="7">
        <v>480201</v>
      </c>
      <c r="F124" s="8" t="s">
        <v>35</v>
      </c>
      <c r="G124" s="7">
        <v>115673</v>
      </c>
      <c r="H124" s="9">
        <f>3451974.39+282917.3+5019887.48</f>
        <v>8754779.1699999999</v>
      </c>
      <c r="I124" s="9">
        <f>1762410.25-410.25</f>
        <v>1762000</v>
      </c>
      <c r="J124" s="9">
        <f>20929917.18+410.25-327.429999999701-10823000</f>
        <v>10107000</v>
      </c>
      <c r="K124" s="9"/>
      <c r="L124" s="9"/>
      <c r="M124" s="9">
        <f t="shared" ref="M124:M126" si="242">SUM(I124:L124)</f>
        <v>11869000</v>
      </c>
      <c r="N124" s="9">
        <f>97655.72+13512437.25</f>
        <v>13610092.970000001</v>
      </c>
      <c r="O124" s="9">
        <f>H124+N124</f>
        <v>22364872.140000001</v>
      </c>
      <c r="P124" s="9"/>
      <c r="Q124" s="9">
        <f>7125886.52-886.52</f>
        <v>7125000</v>
      </c>
      <c r="R124" s="9"/>
      <c r="S124" s="9"/>
      <c r="T124" s="9">
        <f t="shared" ref="T124:T126" si="243">SUM(P124:S124)</f>
        <v>7125000</v>
      </c>
      <c r="U124" s="9">
        <v>7125886.5300000003</v>
      </c>
      <c r="V124" s="9">
        <f t="shared" ref="V124:V126" si="244">O124+U124</f>
        <v>29490758.670000002</v>
      </c>
      <c r="W124" s="9"/>
      <c r="X124" s="9"/>
      <c r="Y124" s="9"/>
      <c r="Z124" s="9"/>
      <c r="AA124" s="9"/>
      <c r="AB124" s="9"/>
      <c r="AC124" s="9"/>
      <c r="AD124" s="66">
        <f t="shared" si="214"/>
        <v>0</v>
      </c>
      <c r="AE124" s="9">
        <v>0</v>
      </c>
      <c r="AF124" s="9">
        <f t="shared" si="235"/>
        <v>29490758.670000002</v>
      </c>
      <c r="AG124" s="9"/>
      <c r="AH124" s="9"/>
      <c r="AI124" s="9"/>
      <c r="AJ124" s="9"/>
      <c r="AK124" s="9"/>
      <c r="AL124" s="9"/>
      <c r="AM124" s="9"/>
      <c r="AN124" s="9"/>
      <c r="AO124" s="66">
        <f t="shared" si="237"/>
        <v>0</v>
      </c>
      <c r="AP124" s="66">
        <f t="shared" si="238"/>
        <v>0</v>
      </c>
      <c r="AQ124" s="66">
        <f t="shared" si="239"/>
        <v>0</v>
      </c>
      <c r="AR124" s="9"/>
      <c r="AS124" s="9"/>
      <c r="AT124" s="9"/>
      <c r="AU124" s="9"/>
      <c r="AV124" s="9"/>
      <c r="AW124" s="9">
        <f t="shared" si="240"/>
        <v>29490758.670000002</v>
      </c>
      <c r="AX124" s="10" t="s">
        <v>32</v>
      </c>
      <c r="AZ124" s="43"/>
    </row>
    <row r="125" spans="1:52" s="23" customFormat="1">
      <c r="A125" s="160"/>
      <c r="B125" s="154"/>
      <c r="C125" s="155"/>
      <c r="D125" s="7" t="s">
        <v>21</v>
      </c>
      <c r="E125" s="7" t="s">
        <v>106</v>
      </c>
      <c r="F125" s="8" t="s">
        <v>36</v>
      </c>
      <c r="G125" s="7">
        <v>115673</v>
      </c>
      <c r="H125" s="9">
        <f>80115469.24+13823561.18</f>
        <v>93939030.419999987</v>
      </c>
      <c r="I125" s="9"/>
      <c r="J125" s="9"/>
      <c r="K125" s="9"/>
      <c r="L125" s="9"/>
      <c r="M125" s="9">
        <f t="shared" si="242"/>
        <v>0</v>
      </c>
      <c r="N125" s="9"/>
      <c r="O125" s="9">
        <f t="shared" si="236"/>
        <v>93939030.419999987</v>
      </c>
      <c r="P125" s="9"/>
      <c r="Q125" s="9"/>
      <c r="R125" s="9"/>
      <c r="S125" s="9"/>
      <c r="T125" s="9">
        <f t="shared" si="243"/>
        <v>0</v>
      </c>
      <c r="U125" s="9"/>
      <c r="V125" s="9">
        <f t="shared" si="244"/>
        <v>93939030.419999987</v>
      </c>
      <c r="W125" s="9"/>
      <c r="X125" s="9"/>
      <c r="Y125" s="9"/>
      <c r="Z125" s="9"/>
      <c r="AA125" s="9"/>
      <c r="AB125" s="9"/>
      <c r="AC125" s="9"/>
      <c r="AD125" s="66">
        <f t="shared" si="214"/>
        <v>0</v>
      </c>
      <c r="AE125" s="9">
        <v>0</v>
      </c>
      <c r="AF125" s="9">
        <f t="shared" si="235"/>
        <v>93939030.419999987</v>
      </c>
      <c r="AG125" s="9"/>
      <c r="AH125" s="9"/>
      <c r="AI125" s="9"/>
      <c r="AJ125" s="9"/>
      <c r="AK125" s="9"/>
      <c r="AL125" s="9"/>
      <c r="AM125" s="9"/>
      <c r="AN125" s="9"/>
      <c r="AO125" s="66">
        <f t="shared" si="237"/>
        <v>0</v>
      </c>
      <c r="AP125" s="66">
        <f t="shared" si="238"/>
        <v>0</v>
      </c>
      <c r="AQ125" s="66">
        <f t="shared" si="239"/>
        <v>0</v>
      </c>
      <c r="AR125" s="9"/>
      <c r="AS125" s="9"/>
      <c r="AT125" s="9"/>
      <c r="AU125" s="9"/>
      <c r="AV125" s="9"/>
      <c r="AW125" s="9">
        <f t="shared" si="240"/>
        <v>93939030.419999987</v>
      </c>
      <c r="AX125" s="10" t="s">
        <v>32</v>
      </c>
    </row>
    <row r="126" spans="1:52" s="23" customFormat="1" ht="180">
      <c r="A126" s="160"/>
      <c r="B126" s="154"/>
      <c r="C126" s="155"/>
      <c r="D126" s="7" t="s">
        <v>21</v>
      </c>
      <c r="E126" s="7" t="s">
        <v>37</v>
      </c>
      <c r="F126" s="8" t="s">
        <v>38</v>
      </c>
      <c r="G126" s="7">
        <v>115673</v>
      </c>
      <c r="H126" s="9">
        <f>3532175.66+2925208.91</f>
        <v>6457384.5700000003</v>
      </c>
      <c r="I126" s="9">
        <f>269545.1-545.099999999977</f>
        <v>269000</v>
      </c>
      <c r="J126" s="9">
        <f>3201046.16+545.099999999977-591.260000000242</f>
        <v>3201000</v>
      </c>
      <c r="K126" s="9"/>
      <c r="L126" s="9"/>
      <c r="M126" s="9">
        <f t="shared" si="242"/>
        <v>3470000</v>
      </c>
      <c r="N126" s="9">
        <f>2066608.08+2129127.28</f>
        <v>4195735.3599999994</v>
      </c>
      <c r="O126" s="9">
        <f t="shared" si="236"/>
        <v>10653119.93</v>
      </c>
      <c r="P126" s="9"/>
      <c r="Q126" s="9">
        <f>1089841.47+158.53</f>
        <v>1090000</v>
      </c>
      <c r="R126" s="9"/>
      <c r="S126" s="9"/>
      <c r="T126" s="9">
        <f t="shared" si="243"/>
        <v>1090000</v>
      </c>
      <c r="U126" s="9">
        <f>5870028.03+1089841.47</f>
        <v>6959869.5</v>
      </c>
      <c r="V126" s="9">
        <f t="shared" si="244"/>
        <v>17612989.43</v>
      </c>
      <c r="W126" s="9"/>
      <c r="X126" s="9"/>
      <c r="Y126" s="9"/>
      <c r="Z126" s="9"/>
      <c r="AA126" s="9"/>
      <c r="AB126" s="9"/>
      <c r="AC126" s="9"/>
      <c r="AD126" s="66">
        <f t="shared" si="214"/>
        <v>0</v>
      </c>
      <c r="AE126" s="9">
        <v>0</v>
      </c>
      <c r="AF126" s="9">
        <f t="shared" si="235"/>
        <v>17612989.43</v>
      </c>
      <c r="AG126" s="9"/>
      <c r="AH126" s="9"/>
      <c r="AI126" s="9"/>
      <c r="AJ126" s="9"/>
      <c r="AK126" s="9"/>
      <c r="AL126" s="9"/>
      <c r="AM126" s="9"/>
      <c r="AN126" s="9"/>
      <c r="AO126" s="66">
        <f t="shared" si="237"/>
        <v>0</v>
      </c>
      <c r="AP126" s="66">
        <f t="shared" si="238"/>
        <v>0</v>
      </c>
      <c r="AQ126" s="66">
        <f t="shared" si="239"/>
        <v>0</v>
      </c>
      <c r="AR126" s="9"/>
      <c r="AS126" s="9"/>
      <c r="AT126" s="9"/>
      <c r="AU126" s="9"/>
      <c r="AV126" s="9"/>
      <c r="AW126" s="9">
        <f t="shared" si="240"/>
        <v>17612989.43</v>
      </c>
      <c r="AX126" s="10" t="s">
        <v>32</v>
      </c>
      <c r="AZ126" s="43"/>
    </row>
    <row r="127" spans="1:52" s="23" customFormat="1">
      <c r="A127" s="160"/>
      <c r="B127" s="154"/>
      <c r="C127" s="155"/>
      <c r="D127" s="7" t="s">
        <v>21</v>
      </c>
      <c r="E127" s="36"/>
      <c r="F127" s="7" t="s">
        <v>19</v>
      </c>
      <c r="G127" s="7">
        <v>115673</v>
      </c>
      <c r="H127" s="9">
        <f>H134-H124-H125-H126</f>
        <v>28164064.840000041</v>
      </c>
      <c r="I127" s="9">
        <f t="shared" ref="I127:M127" si="245">I134-I124-I125-I126</f>
        <v>12468000</v>
      </c>
      <c r="J127" s="9">
        <f t="shared" si="245"/>
        <v>-13308000</v>
      </c>
      <c r="K127" s="9">
        <f t="shared" si="245"/>
        <v>0</v>
      </c>
      <c r="L127" s="9">
        <f t="shared" si="245"/>
        <v>0</v>
      </c>
      <c r="M127" s="9">
        <f t="shared" si="245"/>
        <v>-840000</v>
      </c>
      <c r="N127" s="9">
        <f>N134-N124-N125-N126</f>
        <v>-3464575.790000001</v>
      </c>
      <c r="O127" s="9">
        <f t="shared" ref="O127:S127" si="246">O134-O124-O125-O126</f>
        <v>24699489.050000064</v>
      </c>
      <c r="P127" s="9">
        <f t="shared" si="246"/>
        <v>30000</v>
      </c>
      <c r="Q127" s="9">
        <f t="shared" si="246"/>
        <v>-8215000</v>
      </c>
      <c r="R127" s="9">
        <f t="shared" si="246"/>
        <v>0</v>
      </c>
      <c r="S127" s="9">
        <f t="shared" si="246"/>
        <v>0</v>
      </c>
      <c r="T127" s="9">
        <f>T134-T124-T125-T126</f>
        <v>-8185000</v>
      </c>
      <c r="U127" s="9">
        <f t="shared" ref="U127:V127" si="247">U134-U124-U125-U126</f>
        <v>-14062514.879999999</v>
      </c>
      <c r="V127" s="9">
        <f t="shared" si="247"/>
        <v>10636974.170000069</v>
      </c>
      <c r="W127" s="9">
        <f t="shared" ref="W127:AD127" si="248">W134-W124-W125-W126</f>
        <v>26000</v>
      </c>
      <c r="X127" s="9">
        <f t="shared" si="248"/>
        <v>18000</v>
      </c>
      <c r="Y127" s="9">
        <f t="shared" si="248"/>
        <v>0</v>
      </c>
      <c r="Z127" s="9">
        <f t="shared" si="248"/>
        <v>0</v>
      </c>
      <c r="AA127" s="9"/>
      <c r="AB127" s="9"/>
      <c r="AC127" s="9"/>
      <c r="AD127" s="66">
        <f t="shared" si="248"/>
        <v>44000</v>
      </c>
      <c r="AE127" s="9">
        <f t="shared" ref="AE127:AF127" si="249">AE134-AE124-AE125-AE126</f>
        <v>21188.400000000001</v>
      </c>
      <c r="AF127" s="9">
        <f t="shared" si="249"/>
        <v>10658162.570000045</v>
      </c>
      <c r="AG127" s="9">
        <f t="shared" ref="AG127:AW127" si="250">AG134-AG124-AG125-AG126</f>
        <v>44000</v>
      </c>
      <c r="AH127" s="9">
        <f t="shared" si="250"/>
        <v>0</v>
      </c>
      <c r="AI127" s="9">
        <f t="shared" si="250"/>
        <v>0</v>
      </c>
      <c r="AJ127" s="9">
        <f t="shared" si="250"/>
        <v>0</v>
      </c>
      <c r="AK127" s="9">
        <f t="shared" si="250"/>
        <v>0</v>
      </c>
      <c r="AL127" s="9">
        <f t="shared" si="250"/>
        <v>0</v>
      </c>
      <c r="AM127" s="9">
        <f t="shared" si="250"/>
        <v>0</v>
      </c>
      <c r="AN127" s="9">
        <f t="shared" si="250"/>
        <v>0</v>
      </c>
      <c r="AO127" s="66">
        <f t="shared" si="250"/>
        <v>44000</v>
      </c>
      <c r="AP127" s="66">
        <f t="shared" si="250"/>
        <v>0</v>
      </c>
      <c r="AQ127" s="66">
        <f t="shared" si="250"/>
        <v>44000</v>
      </c>
      <c r="AR127" s="9">
        <f t="shared" si="250"/>
        <v>-695.84</v>
      </c>
      <c r="AS127" s="9">
        <f t="shared" si="250"/>
        <v>0</v>
      </c>
      <c r="AT127" s="9">
        <f t="shared" si="250"/>
        <v>0</v>
      </c>
      <c r="AU127" s="9">
        <f t="shared" si="250"/>
        <v>0</v>
      </c>
      <c r="AV127" s="9">
        <f t="shared" si="250"/>
        <v>0</v>
      </c>
      <c r="AW127" s="9">
        <f t="shared" si="250"/>
        <v>10701466.730000071</v>
      </c>
      <c r="AX127" s="10" t="s">
        <v>32</v>
      </c>
    </row>
    <row r="128" spans="1:52" s="5" customFormat="1" ht="14.45" customHeight="1">
      <c r="A128" s="160"/>
      <c r="B128" s="154"/>
      <c r="C128" s="155"/>
      <c r="D128" s="7" t="s">
        <v>21</v>
      </c>
      <c r="E128" s="7"/>
      <c r="F128" s="8" t="s">
        <v>34</v>
      </c>
      <c r="G128" s="7">
        <v>115673</v>
      </c>
      <c r="H128" s="9">
        <f t="shared" ref="H128" si="251">SUM(H124:H127)</f>
        <v>137315259.00000003</v>
      </c>
      <c r="I128" s="9">
        <f t="shared" ref="I128:N128" si="252">SUM(I124:I127)</f>
        <v>14499000</v>
      </c>
      <c r="J128" s="9">
        <f t="shared" si="252"/>
        <v>0</v>
      </c>
      <c r="K128" s="9">
        <f t="shared" si="252"/>
        <v>0</v>
      </c>
      <c r="L128" s="9">
        <f t="shared" si="252"/>
        <v>0</v>
      </c>
      <c r="M128" s="9">
        <f t="shared" si="252"/>
        <v>14499000</v>
      </c>
      <c r="N128" s="9">
        <f t="shared" si="252"/>
        <v>14341252.539999997</v>
      </c>
      <c r="O128" s="9">
        <f t="shared" ref="O128:S128" si="253">SUM(O124:O127)</f>
        <v>151656511.54000005</v>
      </c>
      <c r="P128" s="9">
        <f t="shared" si="253"/>
        <v>30000</v>
      </c>
      <c r="Q128" s="9">
        <f t="shared" si="253"/>
        <v>0</v>
      </c>
      <c r="R128" s="9">
        <f t="shared" si="253"/>
        <v>0</v>
      </c>
      <c r="S128" s="9">
        <f t="shared" si="253"/>
        <v>0</v>
      </c>
      <c r="T128" s="9">
        <f>SUM(T124:T127)</f>
        <v>30000</v>
      </c>
      <c r="U128" s="9">
        <f t="shared" ref="U128:V128" si="254">SUM(U124:U127)</f>
        <v>23241.150000002235</v>
      </c>
      <c r="V128" s="9">
        <f t="shared" si="254"/>
        <v>151679752.69000006</v>
      </c>
      <c r="W128" s="9">
        <f t="shared" ref="W128:AD128" si="255">SUM(W124:W127)</f>
        <v>26000</v>
      </c>
      <c r="X128" s="9">
        <f t="shared" si="255"/>
        <v>18000</v>
      </c>
      <c r="Y128" s="9">
        <f t="shared" si="255"/>
        <v>0</v>
      </c>
      <c r="Z128" s="9">
        <f t="shared" si="255"/>
        <v>0</v>
      </c>
      <c r="AA128" s="9"/>
      <c r="AB128" s="9"/>
      <c r="AC128" s="9"/>
      <c r="AD128" s="66">
        <f t="shared" si="255"/>
        <v>44000</v>
      </c>
      <c r="AE128" s="9">
        <f t="shared" ref="AE128:AF128" si="256">SUM(AE124:AE127)</f>
        <v>21188.400000000001</v>
      </c>
      <c r="AF128" s="9">
        <f t="shared" si="256"/>
        <v>151700941.09000003</v>
      </c>
      <c r="AG128" s="9">
        <f t="shared" ref="AG128:AW128" si="257">SUM(AG124:AG127)</f>
        <v>44000</v>
      </c>
      <c r="AH128" s="9">
        <f t="shared" si="257"/>
        <v>0</v>
      </c>
      <c r="AI128" s="9">
        <f t="shared" si="257"/>
        <v>0</v>
      </c>
      <c r="AJ128" s="9">
        <f t="shared" si="257"/>
        <v>0</v>
      </c>
      <c r="AK128" s="9">
        <f t="shared" si="257"/>
        <v>0</v>
      </c>
      <c r="AL128" s="9">
        <f t="shared" si="257"/>
        <v>0</v>
      </c>
      <c r="AM128" s="9">
        <f t="shared" si="257"/>
        <v>0</v>
      </c>
      <c r="AN128" s="9">
        <f t="shared" si="257"/>
        <v>0</v>
      </c>
      <c r="AO128" s="66">
        <f t="shared" si="257"/>
        <v>44000</v>
      </c>
      <c r="AP128" s="66">
        <f t="shared" si="257"/>
        <v>0</v>
      </c>
      <c r="AQ128" s="66">
        <f t="shared" si="257"/>
        <v>44000</v>
      </c>
      <c r="AR128" s="9">
        <f t="shared" si="257"/>
        <v>-695.84</v>
      </c>
      <c r="AS128" s="9">
        <f t="shared" si="257"/>
        <v>0</v>
      </c>
      <c r="AT128" s="9">
        <f t="shared" si="257"/>
        <v>0</v>
      </c>
      <c r="AU128" s="9">
        <f t="shared" si="257"/>
        <v>0</v>
      </c>
      <c r="AV128" s="9">
        <f t="shared" si="257"/>
        <v>0</v>
      </c>
      <c r="AW128" s="9">
        <f t="shared" si="257"/>
        <v>151744245.25000006</v>
      </c>
      <c r="AX128" s="10" t="s">
        <v>32</v>
      </c>
    </row>
    <row r="129" spans="1:53" s="4" customFormat="1" ht="30">
      <c r="A129" s="160"/>
      <c r="B129" s="154"/>
      <c r="C129" s="155"/>
      <c r="D129" s="25" t="s">
        <v>22</v>
      </c>
      <c r="E129" s="25">
        <v>580101</v>
      </c>
      <c r="F129" s="37" t="s">
        <v>41</v>
      </c>
      <c r="G129" s="25">
        <v>115673</v>
      </c>
      <c r="H129" s="26">
        <f>SUM(H130:H131)</f>
        <v>20075570.815500028</v>
      </c>
      <c r="I129" s="26">
        <f t="shared" ref="I129:S129" si="258">SUM(I130:I131)</f>
        <v>660000</v>
      </c>
      <c r="J129" s="26">
        <f t="shared" si="258"/>
        <v>0</v>
      </c>
      <c r="K129" s="26">
        <f t="shared" si="258"/>
        <v>0</v>
      </c>
      <c r="L129" s="26">
        <f t="shared" si="258"/>
        <v>0</v>
      </c>
      <c r="M129" s="26">
        <f t="shared" si="258"/>
        <v>660000</v>
      </c>
      <c r="N129" s="26">
        <f t="shared" si="258"/>
        <v>637652.73</v>
      </c>
      <c r="O129" s="26">
        <f>SUM(O130:O131)</f>
        <v>20713223.545500029</v>
      </c>
      <c r="P129" s="26">
        <f t="shared" si="258"/>
        <v>0</v>
      </c>
      <c r="Q129" s="26">
        <f t="shared" si="258"/>
        <v>0</v>
      </c>
      <c r="R129" s="26">
        <f t="shared" si="258"/>
        <v>0</v>
      </c>
      <c r="S129" s="26">
        <f t="shared" si="258"/>
        <v>0</v>
      </c>
      <c r="T129" s="26">
        <f>SUM(T130:T131)</f>
        <v>0</v>
      </c>
      <c r="U129" s="26">
        <f t="shared" ref="U129" si="259">SUM(U130:U131)</f>
        <v>0</v>
      </c>
      <c r="V129" s="26">
        <f>SUM(V130:V131)</f>
        <v>20713223.545500029</v>
      </c>
      <c r="W129" s="26">
        <f t="shared" ref="W129:AF129" si="260">SUM(W130:W131)</f>
        <v>0</v>
      </c>
      <c r="X129" s="26">
        <f t="shared" si="260"/>
        <v>0</v>
      </c>
      <c r="Y129" s="26">
        <f t="shared" si="260"/>
        <v>0</v>
      </c>
      <c r="Z129" s="26">
        <f t="shared" si="260"/>
        <v>0</v>
      </c>
      <c r="AA129" s="26"/>
      <c r="AB129" s="26"/>
      <c r="AC129" s="26"/>
      <c r="AD129" s="67">
        <f t="shared" si="260"/>
        <v>0</v>
      </c>
      <c r="AE129" s="26">
        <f t="shared" si="260"/>
        <v>0</v>
      </c>
      <c r="AF129" s="26">
        <f t="shared" si="260"/>
        <v>20713223.545500029</v>
      </c>
      <c r="AG129" s="26">
        <f t="shared" ref="AG129:AW129" si="261">SUM(AG130:AG131)</f>
        <v>0</v>
      </c>
      <c r="AH129" s="26">
        <f t="shared" si="261"/>
        <v>0</v>
      </c>
      <c r="AI129" s="26">
        <f t="shared" si="261"/>
        <v>0</v>
      </c>
      <c r="AJ129" s="26">
        <f t="shared" si="261"/>
        <v>0</v>
      </c>
      <c r="AK129" s="26">
        <f t="shared" si="261"/>
        <v>0</v>
      </c>
      <c r="AL129" s="26">
        <f t="shared" si="261"/>
        <v>0</v>
      </c>
      <c r="AM129" s="26">
        <f t="shared" si="261"/>
        <v>0</v>
      </c>
      <c r="AN129" s="26">
        <f t="shared" si="261"/>
        <v>0</v>
      </c>
      <c r="AO129" s="67">
        <f t="shared" si="261"/>
        <v>0</v>
      </c>
      <c r="AP129" s="67">
        <f t="shared" si="261"/>
        <v>0</v>
      </c>
      <c r="AQ129" s="67">
        <f t="shared" si="261"/>
        <v>0</v>
      </c>
      <c r="AR129" s="26">
        <f t="shared" si="261"/>
        <v>0</v>
      </c>
      <c r="AS129" s="26">
        <f t="shared" si="261"/>
        <v>0</v>
      </c>
      <c r="AT129" s="26">
        <f t="shared" si="261"/>
        <v>0</v>
      </c>
      <c r="AU129" s="26">
        <f t="shared" si="261"/>
        <v>0</v>
      </c>
      <c r="AV129" s="26">
        <f t="shared" si="261"/>
        <v>0</v>
      </c>
      <c r="AW129" s="26">
        <f t="shared" si="261"/>
        <v>20713223.545500029</v>
      </c>
      <c r="AX129" s="14" t="s">
        <v>32</v>
      </c>
      <c r="AZ129" s="41"/>
    </row>
    <row r="130" spans="1:53" s="4" customFormat="1">
      <c r="A130" s="160"/>
      <c r="B130" s="154"/>
      <c r="C130" s="155"/>
      <c r="D130" s="25"/>
      <c r="E130" s="25"/>
      <c r="F130" s="37" t="s">
        <v>23</v>
      </c>
      <c r="G130" s="25">
        <v>115673</v>
      </c>
      <c r="H130" s="26">
        <f>1616970.69473333+1077034.64-17263</f>
        <v>2676742.3347333297</v>
      </c>
      <c r="I130" s="26">
        <f>4398409.12*2%+238.631999999867</f>
        <v>88206.814399999872</v>
      </c>
      <c r="J130" s="26"/>
      <c r="K130" s="26"/>
      <c r="L130" s="26"/>
      <c r="M130" s="26">
        <f t="shared" ref="M130:M133" si="262">SUM(I130:L130)</f>
        <v>88206.814399999872</v>
      </c>
      <c r="N130" s="26">
        <f>637652.73/15*2</f>
        <v>85020.364000000001</v>
      </c>
      <c r="O130" s="26">
        <f>H130+N130</f>
        <v>2761762.6987333298</v>
      </c>
      <c r="P130" s="26"/>
      <c r="Q130" s="26"/>
      <c r="R130" s="26"/>
      <c r="S130" s="26"/>
      <c r="T130" s="26">
        <f t="shared" ref="T130:T133" si="263">SUM(P130:S130)</f>
        <v>0</v>
      </c>
      <c r="U130" s="26"/>
      <c r="V130" s="26">
        <f t="shared" ref="V130:V132" si="264">O130+U130</f>
        <v>2761762.6987333298</v>
      </c>
      <c r="W130" s="26"/>
      <c r="X130" s="26"/>
      <c r="Y130" s="26"/>
      <c r="Z130" s="26"/>
      <c r="AA130" s="26"/>
      <c r="AB130" s="26"/>
      <c r="AC130" s="26"/>
      <c r="AD130" s="67">
        <f t="shared" si="214"/>
        <v>0</v>
      </c>
      <c r="AE130" s="26">
        <v>0</v>
      </c>
      <c r="AF130" s="26">
        <f t="shared" ref="AF130:AF133" si="265">V130+AE130</f>
        <v>2761762.6987333298</v>
      </c>
      <c r="AG130" s="26"/>
      <c r="AH130" s="26"/>
      <c r="AI130" s="26"/>
      <c r="AJ130" s="26"/>
      <c r="AK130" s="26"/>
      <c r="AL130" s="26"/>
      <c r="AM130" s="26"/>
      <c r="AN130" s="26"/>
      <c r="AO130" s="67">
        <f t="shared" si="237"/>
        <v>0</v>
      </c>
      <c r="AP130" s="67">
        <f t="shared" si="238"/>
        <v>0</v>
      </c>
      <c r="AQ130" s="67">
        <f t="shared" si="239"/>
        <v>0</v>
      </c>
      <c r="AR130" s="26"/>
      <c r="AS130" s="26"/>
      <c r="AT130" s="26"/>
      <c r="AU130" s="26"/>
      <c r="AV130" s="26"/>
      <c r="AW130" s="26">
        <f t="shared" si="240"/>
        <v>2761762.6987333298</v>
      </c>
      <c r="AX130" s="14" t="s">
        <v>32</v>
      </c>
      <c r="AZ130" s="41"/>
    </row>
    <row r="131" spans="1:53" s="4" customFormat="1">
      <c r="A131" s="160"/>
      <c r="B131" s="154"/>
      <c r="C131" s="155"/>
      <c r="D131" s="25"/>
      <c r="E131" s="25"/>
      <c r="F131" s="37" t="s">
        <v>42</v>
      </c>
      <c r="G131" s="25">
        <v>115673</v>
      </c>
      <c r="H131" s="26">
        <f>10510309.6007667+6927723.88-39205</f>
        <v>17398828.480766699</v>
      </c>
      <c r="I131" s="26">
        <f>4398409.12*13%</f>
        <v>571793.18560000008</v>
      </c>
      <c r="J131" s="26"/>
      <c r="K131" s="26"/>
      <c r="L131" s="26"/>
      <c r="M131" s="26">
        <f t="shared" si="262"/>
        <v>571793.18560000008</v>
      </c>
      <c r="N131" s="26">
        <f>637652.73/15*13</f>
        <v>552632.36600000004</v>
      </c>
      <c r="O131" s="26">
        <f t="shared" ref="O131:O133" si="266">H131+N131</f>
        <v>17951460.846766699</v>
      </c>
      <c r="P131" s="26"/>
      <c r="Q131" s="26"/>
      <c r="R131" s="26"/>
      <c r="S131" s="26"/>
      <c r="T131" s="26">
        <f t="shared" si="263"/>
        <v>0</v>
      </c>
      <c r="U131" s="26"/>
      <c r="V131" s="26">
        <f t="shared" si="264"/>
        <v>17951460.846766699</v>
      </c>
      <c r="W131" s="26"/>
      <c r="X131" s="26"/>
      <c r="Y131" s="26"/>
      <c r="Z131" s="26"/>
      <c r="AA131" s="26"/>
      <c r="AB131" s="26"/>
      <c r="AC131" s="26"/>
      <c r="AD131" s="67">
        <f t="shared" si="214"/>
        <v>0</v>
      </c>
      <c r="AE131" s="26">
        <v>0</v>
      </c>
      <c r="AF131" s="26">
        <f t="shared" si="265"/>
        <v>17951460.846766699</v>
      </c>
      <c r="AG131" s="26"/>
      <c r="AH131" s="26"/>
      <c r="AI131" s="26"/>
      <c r="AJ131" s="26"/>
      <c r="AK131" s="26"/>
      <c r="AL131" s="26"/>
      <c r="AM131" s="26"/>
      <c r="AN131" s="26"/>
      <c r="AO131" s="67">
        <f t="shared" si="237"/>
        <v>0</v>
      </c>
      <c r="AP131" s="67">
        <f t="shared" si="238"/>
        <v>0</v>
      </c>
      <c r="AQ131" s="67">
        <f t="shared" si="239"/>
        <v>0</v>
      </c>
      <c r="AR131" s="26"/>
      <c r="AS131" s="26"/>
      <c r="AT131" s="26"/>
      <c r="AU131" s="26"/>
      <c r="AV131" s="26"/>
      <c r="AW131" s="26">
        <f t="shared" si="240"/>
        <v>17951460.846766699</v>
      </c>
      <c r="AX131" s="14" t="s">
        <v>32</v>
      </c>
      <c r="AZ131" s="41"/>
    </row>
    <row r="132" spans="1:53" s="4" customFormat="1" ht="30">
      <c r="A132" s="160"/>
      <c r="B132" s="154"/>
      <c r="C132" s="155"/>
      <c r="D132" s="25" t="s">
        <v>22</v>
      </c>
      <c r="E132" s="25">
        <v>580102</v>
      </c>
      <c r="F132" s="37" t="s">
        <v>31</v>
      </c>
      <c r="G132" s="25">
        <v>115673</v>
      </c>
      <c r="H132" s="26">
        <f>68721254.8645+44998333.45+41985</f>
        <v>113761573.3145</v>
      </c>
      <c r="I132" s="26">
        <f>4398409.12*85%+352.248000000137</f>
        <v>3739000</v>
      </c>
      <c r="J132" s="26"/>
      <c r="K132" s="26"/>
      <c r="L132" s="26"/>
      <c r="M132" s="26">
        <f t="shared" si="262"/>
        <v>3739000</v>
      </c>
      <c r="N132" s="26">
        <v>3613365.47</v>
      </c>
      <c r="O132" s="26">
        <f t="shared" si="266"/>
        <v>117374938.7845</v>
      </c>
      <c r="P132" s="26"/>
      <c r="Q132" s="26"/>
      <c r="R132" s="26"/>
      <c r="S132" s="26"/>
      <c r="T132" s="26">
        <f t="shared" si="263"/>
        <v>0</v>
      </c>
      <c r="U132" s="26"/>
      <c r="V132" s="26">
        <f t="shared" si="264"/>
        <v>117374938.7845</v>
      </c>
      <c r="W132" s="26"/>
      <c r="X132" s="26"/>
      <c r="Y132" s="26"/>
      <c r="Z132" s="26"/>
      <c r="AA132" s="26"/>
      <c r="AB132" s="26"/>
      <c r="AC132" s="26"/>
      <c r="AD132" s="67">
        <f t="shared" si="214"/>
        <v>0</v>
      </c>
      <c r="AE132" s="26">
        <v>0</v>
      </c>
      <c r="AF132" s="26">
        <f t="shared" si="265"/>
        <v>117374938.7845</v>
      </c>
      <c r="AG132" s="26"/>
      <c r="AH132" s="26"/>
      <c r="AI132" s="26"/>
      <c r="AJ132" s="26"/>
      <c r="AK132" s="26"/>
      <c r="AL132" s="26"/>
      <c r="AM132" s="26"/>
      <c r="AN132" s="26"/>
      <c r="AO132" s="67">
        <f t="shared" si="237"/>
        <v>0</v>
      </c>
      <c r="AP132" s="67">
        <f t="shared" si="238"/>
        <v>0</v>
      </c>
      <c r="AQ132" s="67">
        <f t="shared" si="239"/>
        <v>0</v>
      </c>
      <c r="AR132" s="26"/>
      <c r="AS132" s="26"/>
      <c r="AT132" s="26"/>
      <c r="AU132" s="26"/>
      <c r="AV132" s="26"/>
      <c r="AW132" s="26">
        <f t="shared" si="240"/>
        <v>117374938.7845</v>
      </c>
      <c r="AX132" s="14" t="s">
        <v>32</v>
      </c>
      <c r="AZ132" s="41"/>
    </row>
    <row r="133" spans="1:53" s="4" customFormat="1">
      <c r="A133" s="160"/>
      <c r="B133" s="154"/>
      <c r="C133" s="155"/>
      <c r="D133" s="25" t="s">
        <v>22</v>
      </c>
      <c r="E133" s="25">
        <v>580103</v>
      </c>
      <c r="F133" s="37" t="s">
        <v>28</v>
      </c>
      <c r="G133" s="25">
        <v>115673</v>
      </c>
      <c r="H133" s="26">
        <f>1793331.65+1684813.22-30</f>
        <v>3478114.87</v>
      </c>
      <c r="I133" s="26">
        <v>10100000</v>
      </c>
      <c r="J133" s="26"/>
      <c r="K133" s="26"/>
      <c r="L133" s="26"/>
      <c r="M133" s="26">
        <f t="shared" si="262"/>
        <v>10100000</v>
      </c>
      <c r="N133" s="26">
        <v>10090234.34</v>
      </c>
      <c r="O133" s="26">
        <f t="shared" si="266"/>
        <v>13568349.210000001</v>
      </c>
      <c r="P133" s="26">
        <f>27347+2653</f>
        <v>30000</v>
      </c>
      <c r="Q133" s="26"/>
      <c r="R133" s="26"/>
      <c r="S133" s="26"/>
      <c r="T133" s="26">
        <f t="shared" si="263"/>
        <v>30000</v>
      </c>
      <c r="U133" s="26">
        <v>23241.15</v>
      </c>
      <c r="V133" s="26">
        <f>O133+U133</f>
        <v>13591590.360000001</v>
      </c>
      <c r="W133" s="26">
        <f>25294+706</f>
        <v>26000</v>
      </c>
      <c r="X133" s="26">
        <f>18010-10</f>
        <v>18000</v>
      </c>
      <c r="Y133" s="26"/>
      <c r="Z133" s="26"/>
      <c r="AA133" s="26"/>
      <c r="AB133" s="26"/>
      <c r="AC133" s="26"/>
      <c r="AD133" s="67">
        <f t="shared" si="214"/>
        <v>44000</v>
      </c>
      <c r="AE133" s="26">
        <v>21188.400000000001</v>
      </c>
      <c r="AF133" s="26">
        <f t="shared" si="265"/>
        <v>13612778.760000002</v>
      </c>
      <c r="AG133" s="26">
        <f>43304.16+695.84</f>
        <v>44000</v>
      </c>
      <c r="AH133" s="26"/>
      <c r="AI133" s="26"/>
      <c r="AJ133" s="26"/>
      <c r="AK133" s="26"/>
      <c r="AL133" s="26"/>
      <c r="AM133" s="26"/>
      <c r="AN133" s="26"/>
      <c r="AO133" s="67">
        <f t="shared" si="237"/>
        <v>44000</v>
      </c>
      <c r="AP133" s="67">
        <f t="shared" si="238"/>
        <v>0</v>
      </c>
      <c r="AQ133" s="67">
        <f t="shared" si="239"/>
        <v>44000</v>
      </c>
      <c r="AR133" s="26">
        <v>-695.84</v>
      </c>
      <c r="AS133" s="26"/>
      <c r="AT133" s="26"/>
      <c r="AU133" s="26"/>
      <c r="AV133" s="26"/>
      <c r="AW133" s="26">
        <f t="shared" si="240"/>
        <v>13656082.920000002</v>
      </c>
      <c r="AX133" s="14" t="s">
        <v>32</v>
      </c>
      <c r="AY133" s="41"/>
      <c r="AZ133" s="41"/>
      <c r="BA133" s="41"/>
    </row>
    <row r="134" spans="1:53" s="4" customFormat="1">
      <c r="A134" s="160"/>
      <c r="B134" s="154"/>
      <c r="C134" s="155"/>
      <c r="D134" s="25" t="s">
        <v>22</v>
      </c>
      <c r="E134" s="14"/>
      <c r="F134" s="37" t="s">
        <v>29</v>
      </c>
      <c r="G134" s="25">
        <v>115673</v>
      </c>
      <c r="H134" s="26">
        <f>H129+H132+H133</f>
        <v>137315259.00000003</v>
      </c>
      <c r="I134" s="26">
        <f t="shared" ref="I134:S134" si="267">I129+I132+I133</f>
        <v>14499000</v>
      </c>
      <c r="J134" s="26">
        <f t="shared" si="267"/>
        <v>0</v>
      </c>
      <c r="K134" s="26">
        <f t="shared" si="267"/>
        <v>0</v>
      </c>
      <c r="L134" s="26">
        <f t="shared" si="267"/>
        <v>0</v>
      </c>
      <c r="M134" s="26">
        <f t="shared" si="267"/>
        <v>14499000</v>
      </c>
      <c r="N134" s="26">
        <f t="shared" si="267"/>
        <v>14341252.539999999</v>
      </c>
      <c r="O134" s="26">
        <f t="shared" si="267"/>
        <v>151656511.54000005</v>
      </c>
      <c r="P134" s="26">
        <f t="shared" si="267"/>
        <v>30000</v>
      </c>
      <c r="Q134" s="26">
        <f t="shared" si="267"/>
        <v>0</v>
      </c>
      <c r="R134" s="26">
        <f t="shared" si="267"/>
        <v>0</v>
      </c>
      <c r="S134" s="26">
        <f t="shared" si="267"/>
        <v>0</v>
      </c>
      <c r="T134" s="26">
        <f>T129+T132+T133</f>
        <v>30000</v>
      </c>
      <c r="U134" s="26">
        <f t="shared" ref="U134:AW134" si="268">U129+U132+U133</f>
        <v>23241.15</v>
      </c>
      <c r="V134" s="26">
        <f t="shared" si="268"/>
        <v>151679752.69000006</v>
      </c>
      <c r="W134" s="26">
        <f t="shared" si="268"/>
        <v>26000</v>
      </c>
      <c r="X134" s="26">
        <f t="shared" si="268"/>
        <v>18000</v>
      </c>
      <c r="Y134" s="26">
        <f t="shared" si="268"/>
        <v>0</v>
      </c>
      <c r="Z134" s="26">
        <f t="shared" si="268"/>
        <v>0</v>
      </c>
      <c r="AA134" s="26"/>
      <c r="AB134" s="26"/>
      <c r="AC134" s="26"/>
      <c r="AD134" s="67">
        <f t="shared" si="268"/>
        <v>44000</v>
      </c>
      <c r="AE134" s="26">
        <f t="shared" si="268"/>
        <v>21188.400000000001</v>
      </c>
      <c r="AF134" s="26">
        <f t="shared" si="268"/>
        <v>151700941.09000003</v>
      </c>
      <c r="AG134" s="26">
        <f t="shared" si="268"/>
        <v>44000</v>
      </c>
      <c r="AH134" s="26">
        <f t="shared" si="268"/>
        <v>0</v>
      </c>
      <c r="AI134" s="26">
        <f t="shared" si="268"/>
        <v>0</v>
      </c>
      <c r="AJ134" s="26">
        <f t="shared" si="268"/>
        <v>0</v>
      </c>
      <c r="AK134" s="26">
        <f t="shared" si="268"/>
        <v>0</v>
      </c>
      <c r="AL134" s="26">
        <f t="shared" si="268"/>
        <v>0</v>
      </c>
      <c r="AM134" s="26">
        <f t="shared" si="268"/>
        <v>0</v>
      </c>
      <c r="AN134" s="26">
        <f t="shared" si="268"/>
        <v>0</v>
      </c>
      <c r="AO134" s="67">
        <f t="shared" si="268"/>
        <v>44000</v>
      </c>
      <c r="AP134" s="67">
        <f t="shared" si="268"/>
        <v>0</v>
      </c>
      <c r="AQ134" s="67">
        <f t="shared" si="268"/>
        <v>44000</v>
      </c>
      <c r="AR134" s="26">
        <f t="shared" si="268"/>
        <v>-695.84</v>
      </c>
      <c r="AS134" s="26">
        <f t="shared" si="268"/>
        <v>0</v>
      </c>
      <c r="AT134" s="26">
        <f t="shared" si="268"/>
        <v>0</v>
      </c>
      <c r="AU134" s="26">
        <f t="shared" si="268"/>
        <v>0</v>
      </c>
      <c r="AV134" s="26">
        <f t="shared" si="268"/>
        <v>0</v>
      </c>
      <c r="AW134" s="26">
        <f t="shared" si="268"/>
        <v>151744245.25000006</v>
      </c>
      <c r="AX134" s="14" t="s">
        <v>32</v>
      </c>
    </row>
    <row r="135" spans="1:53" s="42" customFormat="1">
      <c r="A135" s="160"/>
      <c r="B135" s="154"/>
      <c r="C135" s="155"/>
      <c r="D135" s="28" t="s">
        <v>22</v>
      </c>
      <c r="E135" s="27"/>
      <c r="F135" s="29" t="s">
        <v>40</v>
      </c>
      <c r="G135" s="28">
        <v>115673</v>
      </c>
      <c r="H135" s="30"/>
      <c r="I135" s="30">
        <v>18000</v>
      </c>
      <c r="J135" s="30"/>
      <c r="K135" s="30"/>
      <c r="L135" s="30"/>
      <c r="M135" s="30">
        <f t="shared" ref="M135" si="269">SUM(I135:L135)</f>
        <v>18000</v>
      </c>
      <c r="N135" s="30">
        <v>3927</v>
      </c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68">
        <f t="shared" si="214"/>
        <v>0</v>
      </c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68">
        <f t="shared" si="237"/>
        <v>0</v>
      </c>
      <c r="AP135" s="68">
        <f t="shared" si="238"/>
        <v>0</v>
      </c>
      <c r="AQ135" s="68">
        <f t="shared" si="239"/>
        <v>0</v>
      </c>
      <c r="AR135" s="30"/>
      <c r="AS135" s="30"/>
      <c r="AT135" s="30"/>
      <c r="AU135" s="30"/>
      <c r="AV135" s="30"/>
      <c r="AW135" s="30">
        <f t="shared" si="240"/>
        <v>0</v>
      </c>
      <c r="AX135" s="27"/>
    </row>
    <row r="136" spans="1:53" s="23" customFormat="1">
      <c r="A136" s="148"/>
      <c r="B136" s="133"/>
      <c r="C136" s="150"/>
      <c r="D136" s="7"/>
      <c r="E136" s="7"/>
      <c r="F136" s="8"/>
      <c r="G136" s="7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66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66">
        <f t="shared" si="237"/>
        <v>0</v>
      </c>
      <c r="AP136" s="66">
        <f t="shared" si="238"/>
        <v>0</v>
      </c>
      <c r="AQ136" s="66">
        <f t="shared" si="239"/>
        <v>0</v>
      </c>
      <c r="AR136" s="9"/>
      <c r="AS136" s="9"/>
      <c r="AT136" s="9"/>
      <c r="AU136" s="9"/>
      <c r="AV136" s="9"/>
      <c r="AW136" s="9">
        <f t="shared" si="240"/>
        <v>0</v>
      </c>
      <c r="AX136" s="10"/>
      <c r="AZ136" s="43"/>
    </row>
    <row r="137" spans="1:53" s="23" customFormat="1">
      <c r="A137" s="158"/>
      <c r="B137" s="159"/>
      <c r="C137" s="155"/>
      <c r="D137" s="7"/>
      <c r="E137" s="7"/>
      <c r="F137" s="8"/>
      <c r="G137" s="7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66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66">
        <f t="shared" si="237"/>
        <v>0</v>
      </c>
      <c r="AP137" s="66">
        <f t="shared" si="238"/>
        <v>0</v>
      </c>
      <c r="AQ137" s="66">
        <f t="shared" si="239"/>
        <v>0</v>
      </c>
      <c r="AR137" s="9"/>
      <c r="AS137" s="9"/>
      <c r="AT137" s="9"/>
      <c r="AU137" s="9"/>
      <c r="AV137" s="9"/>
      <c r="AW137" s="9">
        <f t="shared" si="240"/>
        <v>0</v>
      </c>
      <c r="AX137" s="10"/>
    </row>
    <row r="138" spans="1:53" s="23" customFormat="1">
      <c r="A138" s="158"/>
      <c r="B138" s="159"/>
      <c r="C138" s="155"/>
      <c r="D138" s="7"/>
      <c r="E138" s="7"/>
      <c r="F138" s="8"/>
      <c r="G138" s="7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66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66">
        <f t="shared" si="237"/>
        <v>0</v>
      </c>
      <c r="AP138" s="66">
        <f t="shared" si="238"/>
        <v>0</v>
      </c>
      <c r="AQ138" s="66">
        <f t="shared" si="239"/>
        <v>0</v>
      </c>
      <c r="AR138" s="9"/>
      <c r="AS138" s="9"/>
      <c r="AT138" s="9"/>
      <c r="AU138" s="9"/>
      <c r="AV138" s="9"/>
      <c r="AW138" s="9">
        <f t="shared" si="240"/>
        <v>0</v>
      </c>
      <c r="AX138" s="10"/>
      <c r="AZ138" s="43"/>
    </row>
    <row r="139" spans="1:53" s="23" customFormat="1">
      <c r="A139" s="158"/>
      <c r="B139" s="159"/>
      <c r="C139" s="155"/>
      <c r="D139" s="7"/>
      <c r="E139" s="36"/>
      <c r="F139" s="7"/>
      <c r="G139" s="7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66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66">
        <f t="shared" si="237"/>
        <v>0</v>
      </c>
      <c r="AP139" s="66">
        <f t="shared" si="238"/>
        <v>0</v>
      </c>
      <c r="AQ139" s="66">
        <f t="shared" si="239"/>
        <v>0</v>
      </c>
      <c r="AR139" s="9"/>
      <c r="AS139" s="9"/>
      <c r="AT139" s="9"/>
      <c r="AU139" s="9"/>
      <c r="AV139" s="9"/>
      <c r="AW139" s="9">
        <f t="shared" si="240"/>
        <v>0</v>
      </c>
      <c r="AX139" s="10"/>
    </row>
    <row r="140" spans="1:53" s="5" customFormat="1" ht="14.45" customHeight="1">
      <c r="A140" s="158"/>
      <c r="B140" s="159"/>
      <c r="C140" s="155"/>
      <c r="D140" s="7"/>
      <c r="E140" s="7"/>
      <c r="F140" s="8"/>
      <c r="G140" s="7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66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66">
        <f t="shared" si="237"/>
        <v>0</v>
      </c>
      <c r="AP140" s="66">
        <f t="shared" si="238"/>
        <v>0</v>
      </c>
      <c r="AQ140" s="66">
        <f t="shared" si="239"/>
        <v>0</v>
      </c>
      <c r="AR140" s="9"/>
      <c r="AS140" s="9"/>
      <c r="AT140" s="9"/>
      <c r="AU140" s="9"/>
      <c r="AV140" s="9"/>
      <c r="AW140" s="9">
        <f t="shared" si="240"/>
        <v>0</v>
      </c>
      <c r="AX140" s="10"/>
    </row>
    <row r="141" spans="1:53" s="4" customFormat="1">
      <c r="A141" s="158"/>
      <c r="B141" s="159"/>
      <c r="C141" s="155"/>
      <c r="D141" s="25"/>
      <c r="E141" s="25"/>
      <c r="F141" s="37"/>
      <c r="G141" s="25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67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67">
        <f t="shared" si="237"/>
        <v>0</v>
      </c>
      <c r="AP141" s="67">
        <f t="shared" si="238"/>
        <v>0</v>
      </c>
      <c r="AQ141" s="67">
        <f t="shared" si="239"/>
        <v>0</v>
      </c>
      <c r="AR141" s="26"/>
      <c r="AS141" s="26"/>
      <c r="AT141" s="26"/>
      <c r="AU141" s="26"/>
      <c r="AV141" s="26"/>
      <c r="AW141" s="26">
        <f t="shared" si="240"/>
        <v>0</v>
      </c>
      <c r="AX141" s="14"/>
      <c r="AZ141" s="41"/>
    </row>
    <row r="142" spans="1:53" s="4" customFormat="1">
      <c r="A142" s="158"/>
      <c r="B142" s="159"/>
      <c r="C142" s="155"/>
      <c r="D142" s="25"/>
      <c r="E142" s="25"/>
      <c r="F142" s="37"/>
      <c r="G142" s="25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67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67">
        <f t="shared" si="237"/>
        <v>0</v>
      </c>
      <c r="AP142" s="67">
        <f t="shared" si="238"/>
        <v>0</v>
      </c>
      <c r="AQ142" s="67">
        <f t="shared" si="239"/>
        <v>0</v>
      </c>
      <c r="AR142" s="26"/>
      <c r="AS142" s="26"/>
      <c r="AT142" s="26"/>
      <c r="AU142" s="26"/>
      <c r="AV142" s="26"/>
      <c r="AW142" s="26">
        <f t="shared" si="240"/>
        <v>0</v>
      </c>
      <c r="AX142" s="14"/>
      <c r="AZ142" s="41"/>
    </row>
    <row r="143" spans="1:53" s="4" customFormat="1">
      <c r="A143" s="158"/>
      <c r="B143" s="159"/>
      <c r="C143" s="155"/>
      <c r="D143" s="25"/>
      <c r="E143" s="25"/>
      <c r="F143" s="37"/>
      <c r="G143" s="25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67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67">
        <f t="shared" si="237"/>
        <v>0</v>
      </c>
      <c r="AP143" s="67">
        <f t="shared" si="238"/>
        <v>0</v>
      </c>
      <c r="AQ143" s="67">
        <f t="shared" si="239"/>
        <v>0</v>
      </c>
      <c r="AR143" s="26"/>
      <c r="AS143" s="26"/>
      <c r="AT143" s="26"/>
      <c r="AU143" s="26"/>
      <c r="AV143" s="26"/>
      <c r="AW143" s="26">
        <f t="shared" si="240"/>
        <v>0</v>
      </c>
      <c r="AX143" s="14"/>
      <c r="AZ143" s="41"/>
    </row>
    <row r="144" spans="1:53" s="4" customFormat="1">
      <c r="A144" s="158"/>
      <c r="B144" s="159"/>
      <c r="C144" s="155"/>
      <c r="D144" s="25"/>
      <c r="E144" s="25"/>
      <c r="F144" s="37"/>
      <c r="G144" s="25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67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67">
        <f t="shared" si="237"/>
        <v>0</v>
      </c>
      <c r="AP144" s="67">
        <f t="shared" si="238"/>
        <v>0</v>
      </c>
      <c r="AQ144" s="67">
        <f t="shared" si="239"/>
        <v>0</v>
      </c>
      <c r="AR144" s="26"/>
      <c r="AS144" s="26"/>
      <c r="AT144" s="26"/>
      <c r="AU144" s="26"/>
      <c r="AV144" s="26"/>
      <c r="AW144" s="26">
        <f t="shared" si="240"/>
        <v>0</v>
      </c>
      <c r="AX144" s="14"/>
      <c r="AZ144" s="41"/>
    </row>
    <row r="145" spans="1:53" s="4" customFormat="1">
      <c r="A145" s="158"/>
      <c r="B145" s="159"/>
      <c r="C145" s="155"/>
      <c r="D145" s="25"/>
      <c r="E145" s="25"/>
      <c r="F145" s="37"/>
      <c r="G145" s="25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67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67">
        <f t="shared" si="237"/>
        <v>0</v>
      </c>
      <c r="AP145" s="67">
        <f t="shared" si="238"/>
        <v>0</v>
      </c>
      <c r="AQ145" s="67">
        <f t="shared" si="239"/>
        <v>0</v>
      </c>
      <c r="AR145" s="26"/>
      <c r="AS145" s="26"/>
      <c r="AT145" s="26"/>
      <c r="AU145" s="26"/>
      <c r="AV145" s="26"/>
      <c r="AW145" s="26">
        <f t="shared" si="240"/>
        <v>0</v>
      </c>
      <c r="AX145" s="14"/>
      <c r="AY145" s="41"/>
      <c r="AZ145" s="41"/>
      <c r="BA145" s="41"/>
    </row>
    <row r="146" spans="1:53" s="4" customFormat="1">
      <c r="A146" s="158"/>
      <c r="B146" s="159"/>
      <c r="C146" s="155"/>
      <c r="D146" s="25"/>
      <c r="E146" s="14"/>
      <c r="F146" s="37"/>
      <c r="G146" s="25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67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67">
        <f t="shared" si="237"/>
        <v>0</v>
      </c>
      <c r="AP146" s="67">
        <f t="shared" si="238"/>
        <v>0</v>
      </c>
      <c r="AQ146" s="67">
        <f t="shared" si="239"/>
        <v>0</v>
      </c>
      <c r="AR146" s="26"/>
      <c r="AS146" s="26"/>
      <c r="AT146" s="26"/>
      <c r="AU146" s="26"/>
      <c r="AV146" s="26"/>
      <c r="AW146" s="26">
        <f t="shared" si="240"/>
        <v>0</v>
      </c>
      <c r="AX146" s="14"/>
      <c r="AZ146" s="41"/>
    </row>
    <row r="147" spans="1:53" s="5" customFormat="1">
      <c r="A147" s="148"/>
      <c r="B147" s="133"/>
      <c r="C147" s="161"/>
      <c r="D147" s="7"/>
      <c r="E147" s="10"/>
      <c r="F147" s="7"/>
      <c r="G147" s="7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66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66">
        <f t="shared" si="237"/>
        <v>0</v>
      </c>
      <c r="AP147" s="66">
        <f t="shared" si="238"/>
        <v>0</v>
      </c>
      <c r="AQ147" s="66">
        <f t="shared" si="239"/>
        <v>0</v>
      </c>
      <c r="AR147" s="9"/>
      <c r="AS147" s="9"/>
      <c r="AT147" s="9"/>
      <c r="AU147" s="9"/>
      <c r="AV147" s="9"/>
      <c r="AW147" s="9">
        <f t="shared" si="240"/>
        <v>0</v>
      </c>
      <c r="AX147" s="10"/>
      <c r="AZ147" s="11"/>
    </row>
    <row r="148" spans="1:53" s="4" customFormat="1">
      <c r="A148" s="158"/>
      <c r="B148" s="159"/>
      <c r="C148" s="161"/>
      <c r="D148" s="25"/>
      <c r="E148" s="37"/>
      <c r="F148" s="37"/>
      <c r="G148" s="25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67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67">
        <f t="shared" si="237"/>
        <v>0</v>
      </c>
      <c r="AP148" s="67">
        <f t="shared" si="238"/>
        <v>0</v>
      </c>
      <c r="AQ148" s="67">
        <f t="shared" si="239"/>
        <v>0</v>
      </c>
      <c r="AR148" s="26"/>
      <c r="AS148" s="26"/>
      <c r="AT148" s="26"/>
      <c r="AU148" s="26"/>
      <c r="AV148" s="26"/>
      <c r="AW148" s="26">
        <f t="shared" si="240"/>
        <v>0</v>
      </c>
      <c r="AX148" s="14"/>
      <c r="AZ148" s="41"/>
    </row>
    <row r="149" spans="1:53" s="4" customFormat="1">
      <c r="A149" s="116" t="s">
        <v>259</v>
      </c>
      <c r="B149" s="111" t="s">
        <v>56</v>
      </c>
      <c r="C149" s="123">
        <v>84</v>
      </c>
      <c r="D149" s="7" t="s">
        <v>21</v>
      </c>
      <c r="E149" s="10"/>
      <c r="F149" s="7" t="s">
        <v>109</v>
      </c>
      <c r="G149" s="7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>
        <f t="shared" ref="T149:T151" si="270">SUM(P149:S149)</f>
        <v>0</v>
      </c>
      <c r="U149" s="9">
        <v>10800000</v>
      </c>
      <c r="V149" s="9">
        <f t="shared" ref="V149:V197" si="271">O149+U149</f>
        <v>10800000</v>
      </c>
      <c r="W149" s="9"/>
      <c r="X149" s="9"/>
      <c r="Y149" s="9"/>
      <c r="Z149" s="9"/>
      <c r="AA149" s="9"/>
      <c r="AB149" s="9"/>
      <c r="AC149" s="9"/>
      <c r="AD149" s="66">
        <f t="shared" si="214"/>
        <v>0</v>
      </c>
      <c r="AE149" s="9"/>
      <c r="AF149" s="9">
        <f t="shared" ref="AF149:AF152" si="272">V149+AE149</f>
        <v>10800000</v>
      </c>
      <c r="AG149" s="9"/>
      <c r="AH149" s="9"/>
      <c r="AI149" s="9"/>
      <c r="AJ149" s="9"/>
      <c r="AK149" s="9"/>
      <c r="AL149" s="9"/>
      <c r="AM149" s="9"/>
      <c r="AN149" s="9"/>
      <c r="AO149" s="66">
        <f t="shared" si="237"/>
        <v>0</v>
      </c>
      <c r="AP149" s="66">
        <f t="shared" si="238"/>
        <v>0</v>
      </c>
      <c r="AQ149" s="66">
        <f t="shared" si="239"/>
        <v>0</v>
      </c>
      <c r="AR149" s="9"/>
      <c r="AS149" s="9"/>
      <c r="AT149" s="9"/>
      <c r="AU149" s="9"/>
      <c r="AV149" s="9"/>
      <c r="AW149" s="9">
        <f t="shared" si="240"/>
        <v>10800000</v>
      </c>
      <c r="AX149" s="10" t="s">
        <v>35</v>
      </c>
      <c r="AZ149" s="41"/>
    </row>
    <row r="150" spans="1:53" s="5" customFormat="1" ht="15" customHeight="1">
      <c r="A150" s="117"/>
      <c r="B150" s="120"/>
      <c r="C150" s="124"/>
      <c r="D150" s="7" t="s">
        <v>21</v>
      </c>
      <c r="E150" s="10"/>
      <c r="F150" s="7" t="s">
        <v>19</v>
      </c>
      <c r="G150" s="7">
        <v>148339</v>
      </c>
      <c r="H150" s="9">
        <v>1362.03</v>
      </c>
      <c r="I150" s="9">
        <v>2677000</v>
      </c>
      <c r="J150" s="9"/>
      <c r="K150" s="9"/>
      <c r="L150" s="9"/>
      <c r="M150" s="9">
        <f t="shared" ref="M150:M151" si="273">SUM(I150:L150)</f>
        <v>2677000</v>
      </c>
      <c r="N150" s="9">
        <v>544707</v>
      </c>
      <c r="O150" s="9">
        <f t="shared" ref="O150:O151" si="274">H150+N150</f>
        <v>546069.03</v>
      </c>
      <c r="P150" s="9">
        <f>P151-P149</f>
        <v>768000</v>
      </c>
      <c r="Q150" s="9">
        <f t="shared" ref="Q150" si="275">Q151-Q149</f>
        <v>447000</v>
      </c>
      <c r="R150" s="9">
        <f>R151-R149</f>
        <v>842000</v>
      </c>
      <c r="S150" s="9"/>
      <c r="T150" s="9">
        <f t="shared" si="270"/>
        <v>2057000</v>
      </c>
      <c r="U150" s="9">
        <v>1043464.96</v>
      </c>
      <c r="V150" s="9">
        <f t="shared" si="271"/>
        <v>1589533.99</v>
      </c>
      <c r="W150" s="9">
        <v>1734000</v>
      </c>
      <c r="X150" s="9"/>
      <c r="Y150" s="9"/>
      <c r="Z150" s="9"/>
      <c r="AA150" s="9"/>
      <c r="AB150" s="9"/>
      <c r="AC150" s="9"/>
      <c r="AD150" s="66">
        <f t="shared" si="214"/>
        <v>1734000</v>
      </c>
      <c r="AE150" s="9">
        <v>1559078.62</v>
      </c>
      <c r="AF150" s="9">
        <v>94379201.370000005</v>
      </c>
      <c r="AG150" s="9">
        <v>325000</v>
      </c>
      <c r="AH150" s="9"/>
      <c r="AI150" s="9"/>
      <c r="AJ150" s="9"/>
      <c r="AK150" s="9"/>
      <c r="AL150" s="9"/>
      <c r="AM150" s="9"/>
      <c r="AN150" s="9"/>
      <c r="AO150" s="66">
        <f t="shared" si="237"/>
        <v>325000</v>
      </c>
      <c r="AP150" s="66">
        <f t="shared" si="238"/>
        <v>0</v>
      </c>
      <c r="AQ150" s="66">
        <f t="shared" si="239"/>
        <v>325000</v>
      </c>
      <c r="AR150" s="9">
        <v>-320.61</v>
      </c>
      <c r="AS150" s="9"/>
      <c r="AT150" s="9"/>
      <c r="AU150" s="9"/>
      <c r="AV150" s="9"/>
      <c r="AW150" s="9">
        <f t="shared" si="240"/>
        <v>94703880.760000005</v>
      </c>
      <c r="AX150" s="10" t="s">
        <v>32</v>
      </c>
      <c r="AY150" s="75">
        <v>4067038.76</v>
      </c>
      <c r="AZ150" s="11">
        <f t="shared" ref="AZ150:AZ286" si="276">AW150-AY150</f>
        <v>90636842</v>
      </c>
    </row>
    <row r="151" spans="1:53" s="4" customFormat="1" ht="75">
      <c r="A151" s="117"/>
      <c r="B151" s="120"/>
      <c r="C151" s="124"/>
      <c r="D151" s="25" t="s">
        <v>22</v>
      </c>
      <c r="E151" s="37">
        <v>550156</v>
      </c>
      <c r="F151" s="37" t="s">
        <v>272</v>
      </c>
      <c r="G151" s="25">
        <v>148339</v>
      </c>
      <c r="H151" s="26">
        <v>1362.03</v>
      </c>
      <c r="I151" s="26">
        <f>2152000.17+999.83+10736335.45*2%+273.291000000201+1000+381000-73000</f>
        <v>2677000</v>
      </c>
      <c r="J151" s="26"/>
      <c r="K151" s="26"/>
      <c r="L151" s="26"/>
      <c r="M151" s="26">
        <f t="shared" si="273"/>
        <v>2677000</v>
      </c>
      <c r="N151" s="26">
        <v>544707</v>
      </c>
      <c r="O151" s="26">
        <f t="shared" si="274"/>
        <v>546069.03</v>
      </c>
      <c r="P151" s="26">
        <f>38397944.75*2%+41.1049999999813</f>
        <v>768000</v>
      </c>
      <c r="Q151" s="26">
        <f>22331716.64*2%-41.1049999999813+406.772199999948</f>
        <v>447000</v>
      </c>
      <c r="R151" s="26">
        <f>33737961.78*2%-406.772199999948+647.536599999876+167000</f>
        <v>842000</v>
      </c>
      <c r="S151" s="26"/>
      <c r="T151" s="26">
        <f t="shared" si="270"/>
        <v>2057000</v>
      </c>
      <c r="U151" s="26">
        <v>1043464.96</v>
      </c>
      <c r="V151" s="26">
        <f t="shared" si="271"/>
        <v>1589533.99</v>
      </c>
      <c r="W151" s="26">
        <v>1734000</v>
      </c>
      <c r="X151" s="26"/>
      <c r="Y151" s="26"/>
      <c r="Z151" s="26"/>
      <c r="AA151" s="26"/>
      <c r="AB151" s="26"/>
      <c r="AC151" s="26"/>
      <c r="AD151" s="67">
        <f t="shared" si="214"/>
        <v>1734000</v>
      </c>
      <c r="AE151" s="26">
        <v>1559078.62</v>
      </c>
      <c r="AF151" s="26">
        <f t="shared" si="272"/>
        <v>3148612.6100000003</v>
      </c>
      <c r="AG151" s="26">
        <f>5679.39+320.61</f>
        <v>6000</v>
      </c>
      <c r="AH151" s="26"/>
      <c r="AI151" s="26"/>
      <c r="AJ151" s="26"/>
      <c r="AK151" s="26"/>
      <c r="AL151" s="26"/>
      <c r="AM151" s="26"/>
      <c r="AN151" s="26"/>
      <c r="AO151" s="67">
        <f t="shared" si="237"/>
        <v>6000</v>
      </c>
      <c r="AP151" s="67">
        <f t="shared" si="238"/>
        <v>0</v>
      </c>
      <c r="AQ151" s="67">
        <f t="shared" si="239"/>
        <v>6000</v>
      </c>
      <c r="AR151" s="26">
        <v>-320.61</v>
      </c>
      <c r="AS151" s="26"/>
      <c r="AT151" s="26"/>
      <c r="AU151" s="26"/>
      <c r="AV151" s="26"/>
      <c r="AW151" s="26">
        <f t="shared" si="240"/>
        <v>3154292.0000000005</v>
      </c>
      <c r="AX151" s="14" t="s">
        <v>32</v>
      </c>
      <c r="AY151" s="4">
        <v>4067038.76</v>
      </c>
      <c r="AZ151" s="41">
        <f t="shared" si="276"/>
        <v>-912746.75999999931</v>
      </c>
    </row>
    <row r="152" spans="1:53" s="4" customFormat="1" ht="75">
      <c r="A152" s="118"/>
      <c r="B152" s="121"/>
      <c r="C152" s="125"/>
      <c r="D152" s="25" t="s">
        <v>22</v>
      </c>
      <c r="E152" s="37">
        <v>550156</v>
      </c>
      <c r="F152" s="37" t="s">
        <v>273</v>
      </c>
      <c r="G152" s="25">
        <v>148339</v>
      </c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67"/>
      <c r="AE152" s="26">
        <v>91230588.760000005</v>
      </c>
      <c r="AF152" s="26">
        <f t="shared" si="272"/>
        <v>91230588.760000005</v>
      </c>
      <c r="AG152" s="26">
        <v>319000</v>
      </c>
      <c r="AH152" s="26"/>
      <c r="AI152" s="26"/>
      <c r="AJ152" s="26"/>
      <c r="AK152" s="26"/>
      <c r="AL152" s="26"/>
      <c r="AM152" s="26"/>
      <c r="AN152" s="26"/>
      <c r="AO152" s="67">
        <f t="shared" ref="AO152" si="277">AG152+AI152+AK152+AM152</f>
        <v>319000</v>
      </c>
      <c r="AP152" s="67">
        <f t="shared" ref="AP152" si="278">AH152+AJ152+AL152+AN152</f>
        <v>0</v>
      </c>
      <c r="AQ152" s="67">
        <f t="shared" ref="AQ152" si="279">AO152+AP152</f>
        <v>319000</v>
      </c>
      <c r="AR152" s="26"/>
      <c r="AS152" s="26"/>
      <c r="AT152" s="26"/>
      <c r="AU152" s="26"/>
      <c r="AV152" s="26"/>
      <c r="AW152" s="26">
        <f t="shared" si="240"/>
        <v>91549588.760000005</v>
      </c>
      <c r="AX152" s="14" t="s">
        <v>32</v>
      </c>
      <c r="AZ152" s="41"/>
    </row>
    <row r="153" spans="1:53" s="4" customFormat="1">
      <c r="A153" s="119"/>
      <c r="B153" s="122"/>
      <c r="C153" s="126"/>
      <c r="D153" s="25" t="s">
        <v>22</v>
      </c>
      <c r="E153" s="37"/>
      <c r="F153" s="37" t="s">
        <v>29</v>
      </c>
      <c r="G153" s="25">
        <v>148339</v>
      </c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67"/>
      <c r="AE153" s="26">
        <f>SUM(AE151:AE152)</f>
        <v>92789667.38000001</v>
      </c>
      <c r="AF153" s="26">
        <f t="shared" ref="AF153:AW153" si="280">SUM(AF151:AF152)</f>
        <v>94379201.370000005</v>
      </c>
      <c r="AG153" s="26">
        <f t="shared" si="280"/>
        <v>325000</v>
      </c>
      <c r="AH153" s="26">
        <f t="shared" si="280"/>
        <v>0</v>
      </c>
      <c r="AI153" s="26">
        <f t="shared" si="280"/>
        <v>0</v>
      </c>
      <c r="AJ153" s="26">
        <f t="shared" si="280"/>
        <v>0</v>
      </c>
      <c r="AK153" s="26">
        <f t="shared" si="280"/>
        <v>0</v>
      </c>
      <c r="AL153" s="26">
        <f t="shared" si="280"/>
        <v>0</v>
      </c>
      <c r="AM153" s="26">
        <f t="shared" si="280"/>
        <v>0</v>
      </c>
      <c r="AN153" s="26">
        <f t="shared" si="280"/>
        <v>0</v>
      </c>
      <c r="AO153" s="67">
        <f t="shared" si="280"/>
        <v>325000</v>
      </c>
      <c r="AP153" s="67">
        <f t="shared" si="280"/>
        <v>0</v>
      </c>
      <c r="AQ153" s="67">
        <f t="shared" si="280"/>
        <v>325000</v>
      </c>
      <c r="AR153" s="26">
        <f t="shared" si="280"/>
        <v>-320.61</v>
      </c>
      <c r="AS153" s="26">
        <f t="shared" si="280"/>
        <v>0</v>
      </c>
      <c r="AT153" s="26">
        <f t="shared" si="280"/>
        <v>0</v>
      </c>
      <c r="AU153" s="26">
        <f t="shared" si="280"/>
        <v>0</v>
      </c>
      <c r="AV153" s="26">
        <f t="shared" si="280"/>
        <v>0</v>
      </c>
      <c r="AW153" s="26">
        <f t="shared" si="280"/>
        <v>94703880.760000005</v>
      </c>
      <c r="AX153" s="14"/>
      <c r="AZ153" s="41"/>
    </row>
    <row r="154" spans="1:53" s="5" customFormat="1">
      <c r="A154" s="148"/>
      <c r="B154" s="133"/>
      <c r="C154" s="161"/>
      <c r="D154" s="7"/>
      <c r="E154" s="10"/>
      <c r="F154" s="7"/>
      <c r="G154" s="7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66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66">
        <f t="shared" si="237"/>
        <v>0</v>
      </c>
      <c r="AP154" s="66">
        <f t="shared" si="238"/>
        <v>0</v>
      </c>
      <c r="AQ154" s="66">
        <f t="shared" si="239"/>
        <v>0</v>
      </c>
      <c r="AR154" s="9"/>
      <c r="AS154" s="9"/>
      <c r="AT154" s="9"/>
      <c r="AU154" s="9"/>
      <c r="AV154" s="9"/>
      <c r="AW154" s="9">
        <f t="shared" si="240"/>
        <v>0</v>
      </c>
      <c r="AX154" s="10"/>
      <c r="AZ154" s="11"/>
    </row>
    <row r="155" spans="1:53" s="4" customFormat="1">
      <c r="A155" s="158"/>
      <c r="B155" s="159"/>
      <c r="C155" s="161"/>
      <c r="D155" s="25"/>
      <c r="E155" s="37"/>
      <c r="F155" s="37"/>
      <c r="G155" s="25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67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67">
        <f t="shared" si="237"/>
        <v>0</v>
      </c>
      <c r="AP155" s="67">
        <f t="shared" si="238"/>
        <v>0</v>
      </c>
      <c r="AQ155" s="67">
        <f t="shared" si="239"/>
        <v>0</v>
      </c>
      <c r="AR155" s="26"/>
      <c r="AS155" s="26"/>
      <c r="AT155" s="26"/>
      <c r="AU155" s="26"/>
      <c r="AV155" s="26"/>
      <c r="AW155" s="26">
        <f t="shared" si="240"/>
        <v>0</v>
      </c>
      <c r="AX155" s="14"/>
      <c r="AZ155" s="41"/>
    </row>
    <row r="156" spans="1:53" s="35" customFormat="1">
      <c r="A156" s="38" t="s">
        <v>112</v>
      </c>
      <c r="B156" s="38"/>
      <c r="C156" s="32"/>
      <c r="D156" s="33"/>
      <c r="E156" s="33"/>
      <c r="F156" s="15"/>
      <c r="G156" s="31"/>
      <c r="H156" s="34"/>
      <c r="I156" s="34"/>
      <c r="J156" s="34"/>
      <c r="K156" s="34"/>
      <c r="L156" s="34"/>
      <c r="M156" s="39"/>
      <c r="N156" s="39"/>
      <c r="O156" s="39"/>
      <c r="P156" s="39"/>
      <c r="Q156" s="39"/>
      <c r="R156" s="39"/>
      <c r="S156" s="39"/>
      <c r="T156" s="34"/>
      <c r="U156" s="39"/>
      <c r="V156" s="39"/>
      <c r="W156" s="39"/>
      <c r="X156" s="39"/>
      <c r="Y156" s="39"/>
      <c r="Z156" s="39"/>
      <c r="AA156" s="39"/>
      <c r="AB156" s="39"/>
      <c r="AC156" s="39"/>
      <c r="AD156" s="69">
        <f t="shared" si="214"/>
        <v>0</v>
      </c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69">
        <f t="shared" si="237"/>
        <v>0</v>
      </c>
      <c r="AP156" s="69">
        <f t="shared" si="238"/>
        <v>0</v>
      </c>
      <c r="AQ156" s="69">
        <f t="shared" si="239"/>
        <v>0</v>
      </c>
      <c r="AR156" s="34"/>
      <c r="AS156" s="34"/>
      <c r="AT156" s="34"/>
      <c r="AU156" s="34"/>
      <c r="AV156" s="34"/>
      <c r="AW156" s="39">
        <f t="shared" si="240"/>
        <v>0</v>
      </c>
      <c r="AX156" s="34"/>
      <c r="AZ156" s="35">
        <f t="shared" si="276"/>
        <v>0</v>
      </c>
    </row>
    <row r="157" spans="1:53" s="5" customFormat="1">
      <c r="A157" s="130" t="s">
        <v>197</v>
      </c>
      <c r="B157" s="138" t="s">
        <v>23</v>
      </c>
      <c r="C157" s="129">
        <v>51</v>
      </c>
      <c r="D157" s="7" t="s">
        <v>21</v>
      </c>
      <c r="E157" s="7" t="s">
        <v>203</v>
      </c>
      <c r="F157" s="8" t="s">
        <v>204</v>
      </c>
      <c r="G157" s="8">
        <v>319162</v>
      </c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>
        <f>544715.4+284.600000000093</f>
        <v>545000.00000000012</v>
      </c>
      <c r="Y157" s="9">
        <f>476100-284.600000000093+184.600000000093</f>
        <v>476000</v>
      </c>
      <c r="Z157" s="9">
        <f>999249.585-184.600000000093+935.01500000013</f>
        <v>1000000</v>
      </c>
      <c r="AA157" s="9"/>
      <c r="AB157" s="9"/>
      <c r="AC157" s="9"/>
      <c r="AD157" s="66">
        <f t="shared" si="214"/>
        <v>2021000</v>
      </c>
      <c r="AE157" s="9"/>
      <c r="AF157" s="9">
        <f t="shared" ref="AF157:AF159" si="281">V157+AE157</f>
        <v>0</v>
      </c>
      <c r="AG157" s="9">
        <f>3431562.28-562.28</f>
        <v>3431000</v>
      </c>
      <c r="AH157" s="9"/>
      <c r="AI157" s="9"/>
      <c r="AJ157" s="9"/>
      <c r="AK157" s="9"/>
      <c r="AL157" s="9"/>
      <c r="AM157" s="9"/>
      <c r="AN157" s="9"/>
      <c r="AO157" s="66">
        <f t="shared" si="237"/>
        <v>3431000</v>
      </c>
      <c r="AP157" s="66">
        <f t="shared" si="238"/>
        <v>0</v>
      </c>
      <c r="AQ157" s="66">
        <f t="shared" si="239"/>
        <v>3431000</v>
      </c>
      <c r="AR157" s="9">
        <v>562.28</v>
      </c>
      <c r="AS157" s="9"/>
      <c r="AT157" s="9"/>
      <c r="AU157" s="9"/>
      <c r="AV157" s="9"/>
      <c r="AW157" s="9">
        <f t="shared" si="240"/>
        <v>3431562.28</v>
      </c>
      <c r="AX157" s="9" t="s">
        <v>204</v>
      </c>
      <c r="AY157" s="5">
        <v>3748133.4224999999</v>
      </c>
      <c r="AZ157" s="5">
        <f t="shared" si="276"/>
        <v>-316571.14250000007</v>
      </c>
    </row>
    <row r="158" spans="1:53" s="5" customFormat="1" ht="135">
      <c r="A158" s="109"/>
      <c r="B158" s="146"/>
      <c r="C158" s="114"/>
      <c r="D158" s="7" t="s">
        <v>21</v>
      </c>
      <c r="E158" s="7">
        <v>42029303</v>
      </c>
      <c r="F158" s="8" t="s">
        <v>146</v>
      </c>
      <c r="G158" s="8">
        <v>319162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>
        <f t="shared" si="271"/>
        <v>0</v>
      </c>
      <c r="W158" s="9"/>
      <c r="X158" s="9">
        <f>181571.8+428.200000000012</f>
        <v>182000</v>
      </c>
      <c r="Y158" s="9">
        <f>158700-428.200000000012+728.200000000012</f>
        <v>159000</v>
      </c>
      <c r="Z158" s="9">
        <f>333083.195-728.200000000012+645.005000000005</f>
        <v>333000</v>
      </c>
      <c r="AA158" s="9"/>
      <c r="AB158" s="9"/>
      <c r="AC158" s="9"/>
      <c r="AD158" s="66">
        <f t="shared" si="214"/>
        <v>674000</v>
      </c>
      <c r="AE158" s="9"/>
      <c r="AF158" s="9">
        <f t="shared" si="281"/>
        <v>0</v>
      </c>
      <c r="AG158" s="9">
        <f>1249377.75-562.28+184.53</f>
        <v>1249000</v>
      </c>
      <c r="AH158" s="9"/>
      <c r="AI158" s="9"/>
      <c r="AJ158" s="9"/>
      <c r="AK158" s="9"/>
      <c r="AL158" s="9"/>
      <c r="AM158" s="9"/>
      <c r="AN158" s="9"/>
      <c r="AO158" s="66">
        <f t="shared" si="237"/>
        <v>1249000</v>
      </c>
      <c r="AP158" s="66">
        <f t="shared" si="238"/>
        <v>0</v>
      </c>
      <c r="AQ158" s="66">
        <f t="shared" si="239"/>
        <v>1249000</v>
      </c>
      <c r="AR158" s="9">
        <v>-184.53</v>
      </c>
      <c r="AS158" s="9"/>
      <c r="AT158" s="9"/>
      <c r="AU158" s="9"/>
      <c r="AV158" s="9"/>
      <c r="AW158" s="9">
        <f t="shared" si="240"/>
        <v>1248815.47</v>
      </c>
      <c r="AX158" s="9" t="s">
        <v>204</v>
      </c>
      <c r="AY158" s="5">
        <v>1249377.8075000001</v>
      </c>
      <c r="AZ158" s="5">
        <f t="shared" si="276"/>
        <v>-562.3375000001397</v>
      </c>
    </row>
    <row r="159" spans="1:53" s="5" customFormat="1">
      <c r="A159" s="109"/>
      <c r="B159" s="146"/>
      <c r="C159" s="114"/>
      <c r="D159" s="7" t="s">
        <v>21</v>
      </c>
      <c r="E159" s="7">
        <v>45025103</v>
      </c>
      <c r="F159" s="8" t="s">
        <v>242</v>
      </c>
      <c r="G159" s="8">
        <v>319162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66">
        <f>SUM(W159:Z159)</f>
        <v>0</v>
      </c>
      <c r="AE159" s="9">
        <v>316570.96999999997</v>
      </c>
      <c r="AF159" s="9">
        <f t="shared" si="281"/>
        <v>316570.96999999997</v>
      </c>
      <c r="AG159" s="9"/>
      <c r="AH159" s="9"/>
      <c r="AI159" s="9"/>
      <c r="AJ159" s="9"/>
      <c r="AK159" s="9"/>
      <c r="AL159" s="9"/>
      <c r="AM159" s="9"/>
      <c r="AN159" s="9"/>
      <c r="AO159" s="66">
        <f t="shared" si="237"/>
        <v>0</v>
      </c>
      <c r="AP159" s="66">
        <f t="shared" si="238"/>
        <v>0</v>
      </c>
      <c r="AQ159" s="66">
        <f t="shared" si="239"/>
        <v>0</v>
      </c>
      <c r="AR159" s="9"/>
      <c r="AS159" s="9"/>
      <c r="AT159" s="9"/>
      <c r="AU159" s="9"/>
      <c r="AV159" s="9"/>
      <c r="AW159" s="9">
        <f t="shared" si="240"/>
        <v>316570.96999999997</v>
      </c>
      <c r="AX159" s="9" t="s">
        <v>241</v>
      </c>
    </row>
    <row r="160" spans="1:53" s="5" customFormat="1">
      <c r="A160" s="109"/>
      <c r="B160" s="146"/>
      <c r="C160" s="114"/>
      <c r="D160" s="7" t="s">
        <v>21</v>
      </c>
      <c r="E160" s="7"/>
      <c r="F160" s="8" t="s">
        <v>19</v>
      </c>
      <c r="G160" s="8">
        <v>319162</v>
      </c>
      <c r="H160" s="9">
        <f>H167-H157-H158</f>
        <v>0</v>
      </c>
      <c r="I160" s="9">
        <f t="shared" ref="I160:U160" si="282">I167-I157-I158</f>
        <v>0</v>
      </c>
      <c r="J160" s="9">
        <f t="shared" si="282"/>
        <v>0</v>
      </c>
      <c r="K160" s="9">
        <f t="shared" si="282"/>
        <v>0</v>
      </c>
      <c r="L160" s="9">
        <f t="shared" si="282"/>
        <v>0</v>
      </c>
      <c r="M160" s="9">
        <f t="shared" si="282"/>
        <v>0</v>
      </c>
      <c r="N160" s="9">
        <f t="shared" si="282"/>
        <v>0</v>
      </c>
      <c r="O160" s="9">
        <f t="shared" si="282"/>
        <v>0</v>
      </c>
      <c r="P160" s="9">
        <f t="shared" si="282"/>
        <v>0</v>
      </c>
      <c r="Q160" s="9">
        <f t="shared" si="282"/>
        <v>0</v>
      </c>
      <c r="R160" s="9">
        <f t="shared" si="282"/>
        <v>0</v>
      </c>
      <c r="S160" s="9">
        <f t="shared" si="282"/>
        <v>0</v>
      </c>
      <c r="T160" s="9">
        <f t="shared" si="282"/>
        <v>0</v>
      </c>
      <c r="U160" s="9">
        <f t="shared" si="282"/>
        <v>0</v>
      </c>
      <c r="V160" s="9">
        <f>V167-V157-V158-V159</f>
        <v>0</v>
      </c>
      <c r="W160" s="9">
        <f t="shared" ref="W160:AF160" si="283">W167-W157-W158-W159</f>
        <v>478000</v>
      </c>
      <c r="X160" s="9">
        <f t="shared" si="283"/>
        <v>137999.99999999988</v>
      </c>
      <c r="Y160" s="9">
        <f t="shared" si="283"/>
        <v>-12000</v>
      </c>
      <c r="Z160" s="9">
        <f t="shared" si="283"/>
        <v>-604000</v>
      </c>
      <c r="AA160" s="9">
        <f t="shared" si="283"/>
        <v>0</v>
      </c>
      <c r="AB160" s="9">
        <f t="shared" si="283"/>
        <v>0</v>
      </c>
      <c r="AC160" s="9">
        <f t="shared" si="283"/>
        <v>0</v>
      </c>
      <c r="AD160" s="66">
        <f t="shared" si="283"/>
        <v>0</v>
      </c>
      <c r="AE160" s="9">
        <f t="shared" si="283"/>
        <v>699641.63000000012</v>
      </c>
      <c r="AF160" s="9">
        <f t="shared" si="283"/>
        <v>699641.63000000012</v>
      </c>
      <c r="AG160" s="9">
        <f t="shared" ref="AG160:AW160" si="284">AG167-AG157-AG158-AG159</f>
        <v>-698000</v>
      </c>
      <c r="AH160" s="9">
        <f t="shared" si="284"/>
        <v>0</v>
      </c>
      <c r="AI160" s="9">
        <f t="shared" si="284"/>
        <v>0</v>
      </c>
      <c r="AJ160" s="9">
        <f t="shared" si="284"/>
        <v>0</v>
      </c>
      <c r="AK160" s="9">
        <f t="shared" si="284"/>
        <v>0</v>
      </c>
      <c r="AL160" s="9">
        <f t="shared" si="284"/>
        <v>0</v>
      </c>
      <c r="AM160" s="9">
        <f t="shared" si="284"/>
        <v>0</v>
      </c>
      <c r="AN160" s="9">
        <f t="shared" si="284"/>
        <v>0</v>
      </c>
      <c r="AO160" s="66">
        <f t="shared" si="284"/>
        <v>-698000</v>
      </c>
      <c r="AP160" s="66">
        <f t="shared" si="284"/>
        <v>0</v>
      </c>
      <c r="AQ160" s="66">
        <f t="shared" si="284"/>
        <v>-698000</v>
      </c>
      <c r="AR160" s="9">
        <f t="shared" si="284"/>
        <v>-1079.3499999999999</v>
      </c>
      <c r="AS160" s="9">
        <f t="shared" si="284"/>
        <v>0</v>
      </c>
      <c r="AT160" s="9">
        <f t="shared" si="284"/>
        <v>0</v>
      </c>
      <c r="AU160" s="9">
        <f t="shared" si="284"/>
        <v>0</v>
      </c>
      <c r="AV160" s="9">
        <f t="shared" si="284"/>
        <v>0</v>
      </c>
      <c r="AW160" s="9">
        <f t="shared" si="284"/>
        <v>562.28000000026077</v>
      </c>
      <c r="AX160" s="9" t="s">
        <v>204</v>
      </c>
      <c r="AY160" s="5">
        <v>-0.22999999998137355</v>
      </c>
      <c r="AZ160" s="5">
        <f t="shared" si="276"/>
        <v>562.51000000024214</v>
      </c>
    </row>
    <row r="161" spans="1:53" s="5" customFormat="1">
      <c r="A161" s="109"/>
      <c r="B161" s="146"/>
      <c r="C161" s="114"/>
      <c r="D161" s="7" t="s">
        <v>21</v>
      </c>
      <c r="E161" s="7"/>
      <c r="F161" s="8" t="s">
        <v>47</v>
      </c>
      <c r="G161" s="8">
        <v>319162</v>
      </c>
      <c r="H161" s="9">
        <f>SUM(H157:H160)</f>
        <v>0</v>
      </c>
      <c r="I161" s="9">
        <f t="shared" ref="I161:AD161" si="285">SUM(I157:I160)</f>
        <v>0</v>
      </c>
      <c r="J161" s="9">
        <f t="shared" si="285"/>
        <v>0</v>
      </c>
      <c r="K161" s="9">
        <f t="shared" si="285"/>
        <v>0</v>
      </c>
      <c r="L161" s="9">
        <f t="shared" si="285"/>
        <v>0</v>
      </c>
      <c r="M161" s="9">
        <f t="shared" si="285"/>
        <v>0</v>
      </c>
      <c r="N161" s="9">
        <f t="shared" si="285"/>
        <v>0</v>
      </c>
      <c r="O161" s="9">
        <f t="shared" si="285"/>
        <v>0</v>
      </c>
      <c r="P161" s="9">
        <f t="shared" si="285"/>
        <v>0</v>
      </c>
      <c r="Q161" s="9">
        <f t="shared" si="285"/>
        <v>0</v>
      </c>
      <c r="R161" s="9">
        <f t="shared" si="285"/>
        <v>0</v>
      </c>
      <c r="S161" s="9">
        <f t="shared" si="285"/>
        <v>0</v>
      </c>
      <c r="T161" s="9">
        <f t="shared" si="285"/>
        <v>0</v>
      </c>
      <c r="U161" s="9">
        <f t="shared" si="285"/>
        <v>0</v>
      </c>
      <c r="V161" s="9">
        <f t="shared" si="285"/>
        <v>0</v>
      </c>
      <c r="W161" s="9">
        <f t="shared" si="285"/>
        <v>478000</v>
      </c>
      <c r="X161" s="9">
        <f t="shared" si="285"/>
        <v>865000</v>
      </c>
      <c r="Y161" s="9">
        <f t="shared" si="285"/>
        <v>623000</v>
      </c>
      <c r="Z161" s="9">
        <f t="shared" si="285"/>
        <v>729000</v>
      </c>
      <c r="AA161" s="9"/>
      <c r="AB161" s="9"/>
      <c r="AC161" s="9"/>
      <c r="AD161" s="66">
        <f t="shared" si="285"/>
        <v>2695000</v>
      </c>
      <c r="AE161" s="9">
        <f t="shared" ref="AE161:AF161" si="286">SUM(AE157:AE160)</f>
        <v>1016212.6000000001</v>
      </c>
      <c r="AF161" s="9">
        <f t="shared" si="286"/>
        <v>1016212.6000000001</v>
      </c>
      <c r="AG161" s="9">
        <f t="shared" ref="AG161:AW161" si="287">SUM(AG157:AG160)</f>
        <v>3982000</v>
      </c>
      <c r="AH161" s="9">
        <f t="shared" si="287"/>
        <v>0</v>
      </c>
      <c r="AI161" s="9">
        <f t="shared" si="287"/>
        <v>0</v>
      </c>
      <c r="AJ161" s="9">
        <f t="shared" si="287"/>
        <v>0</v>
      </c>
      <c r="AK161" s="9">
        <f t="shared" si="287"/>
        <v>0</v>
      </c>
      <c r="AL161" s="9">
        <f t="shared" si="287"/>
        <v>0</v>
      </c>
      <c r="AM161" s="9">
        <f t="shared" si="287"/>
        <v>0</v>
      </c>
      <c r="AN161" s="9">
        <f t="shared" si="287"/>
        <v>0</v>
      </c>
      <c r="AO161" s="66">
        <f t="shared" si="287"/>
        <v>3982000</v>
      </c>
      <c r="AP161" s="66">
        <f t="shared" si="287"/>
        <v>0</v>
      </c>
      <c r="AQ161" s="66">
        <f t="shared" si="287"/>
        <v>3982000</v>
      </c>
      <c r="AR161" s="9">
        <f t="shared" si="287"/>
        <v>-701.59999999999991</v>
      </c>
      <c r="AS161" s="9">
        <f t="shared" si="287"/>
        <v>0</v>
      </c>
      <c r="AT161" s="9">
        <f t="shared" si="287"/>
        <v>0</v>
      </c>
      <c r="AU161" s="9">
        <f t="shared" si="287"/>
        <v>0</v>
      </c>
      <c r="AV161" s="9">
        <f t="shared" si="287"/>
        <v>0</v>
      </c>
      <c r="AW161" s="9">
        <f t="shared" si="287"/>
        <v>4997511</v>
      </c>
      <c r="AX161" s="9" t="s">
        <v>204</v>
      </c>
      <c r="AY161" s="5">
        <v>4997511</v>
      </c>
      <c r="AZ161" s="5">
        <f t="shared" si="276"/>
        <v>0</v>
      </c>
    </row>
    <row r="162" spans="1:53" s="4" customFormat="1">
      <c r="A162" s="109"/>
      <c r="B162" s="146"/>
      <c r="C162" s="114"/>
      <c r="D162" s="25" t="s">
        <v>22</v>
      </c>
      <c r="E162" s="25" t="s">
        <v>198</v>
      </c>
      <c r="F162" s="59" t="s">
        <v>201</v>
      </c>
      <c r="G162" s="37">
        <v>319162</v>
      </c>
      <c r="H162" s="26">
        <f>SUM(H163:H164)</f>
        <v>0</v>
      </c>
      <c r="I162" s="26">
        <f t="shared" ref="I162:AD162" si="288">SUM(I163:I164)</f>
        <v>0</v>
      </c>
      <c r="J162" s="26">
        <f t="shared" si="288"/>
        <v>0</v>
      </c>
      <c r="K162" s="26">
        <f t="shared" si="288"/>
        <v>0</v>
      </c>
      <c r="L162" s="26">
        <f t="shared" si="288"/>
        <v>0</v>
      </c>
      <c r="M162" s="26">
        <f t="shared" si="288"/>
        <v>0</v>
      </c>
      <c r="N162" s="26">
        <f t="shared" si="288"/>
        <v>0</v>
      </c>
      <c r="O162" s="26">
        <f t="shared" si="288"/>
        <v>0</v>
      </c>
      <c r="P162" s="26">
        <f t="shared" si="288"/>
        <v>0</v>
      </c>
      <c r="Q162" s="26">
        <f t="shared" si="288"/>
        <v>0</v>
      </c>
      <c r="R162" s="26">
        <f t="shared" si="288"/>
        <v>0</v>
      </c>
      <c r="S162" s="26">
        <f t="shared" si="288"/>
        <v>0</v>
      </c>
      <c r="T162" s="26">
        <f t="shared" si="288"/>
        <v>0</v>
      </c>
      <c r="U162" s="26">
        <f t="shared" si="288"/>
        <v>0</v>
      </c>
      <c r="V162" s="26">
        <f t="shared" si="288"/>
        <v>0</v>
      </c>
      <c r="W162" s="26">
        <f t="shared" si="288"/>
        <v>120000</v>
      </c>
      <c r="X162" s="26">
        <f t="shared" si="288"/>
        <v>216000</v>
      </c>
      <c r="Y162" s="26">
        <f t="shared" si="288"/>
        <v>156000</v>
      </c>
      <c r="Z162" s="26">
        <f t="shared" si="288"/>
        <v>182000</v>
      </c>
      <c r="AA162" s="26"/>
      <c r="AB162" s="26"/>
      <c r="AC162" s="26"/>
      <c r="AD162" s="67">
        <f t="shared" si="288"/>
        <v>674000</v>
      </c>
      <c r="AE162" s="26">
        <f t="shared" ref="AE162:AF162" si="289">SUM(AE163:AE164)</f>
        <v>254044.42</v>
      </c>
      <c r="AF162" s="26">
        <f t="shared" si="289"/>
        <v>254044.42</v>
      </c>
      <c r="AG162" s="26">
        <f t="shared" ref="AG162:AW162" si="290">SUM(AG163:AG164)</f>
        <v>996000</v>
      </c>
      <c r="AH162" s="26">
        <f t="shared" si="290"/>
        <v>0</v>
      </c>
      <c r="AI162" s="26">
        <f t="shared" si="290"/>
        <v>0</v>
      </c>
      <c r="AJ162" s="26">
        <f t="shared" si="290"/>
        <v>0</v>
      </c>
      <c r="AK162" s="26">
        <f t="shared" si="290"/>
        <v>0</v>
      </c>
      <c r="AL162" s="26">
        <f t="shared" si="290"/>
        <v>0</v>
      </c>
      <c r="AM162" s="26">
        <f t="shared" si="290"/>
        <v>0</v>
      </c>
      <c r="AN162" s="26">
        <f t="shared" si="290"/>
        <v>0</v>
      </c>
      <c r="AO162" s="67">
        <f t="shared" si="290"/>
        <v>996000</v>
      </c>
      <c r="AP162" s="67">
        <f t="shared" si="290"/>
        <v>0</v>
      </c>
      <c r="AQ162" s="67">
        <f t="shared" si="290"/>
        <v>996000</v>
      </c>
      <c r="AR162" s="26">
        <f t="shared" si="290"/>
        <v>-666.67</v>
      </c>
      <c r="AS162" s="26">
        <f t="shared" si="290"/>
        <v>0</v>
      </c>
      <c r="AT162" s="26">
        <f t="shared" si="290"/>
        <v>0</v>
      </c>
      <c r="AU162" s="26">
        <f t="shared" si="290"/>
        <v>0</v>
      </c>
      <c r="AV162" s="26">
        <f t="shared" si="290"/>
        <v>0</v>
      </c>
      <c r="AW162" s="26">
        <f t="shared" si="290"/>
        <v>1249377.75</v>
      </c>
      <c r="AX162" s="26" t="s">
        <v>204</v>
      </c>
      <c r="AY162" s="4">
        <v>1249377.75</v>
      </c>
      <c r="AZ162" s="4">
        <f t="shared" si="276"/>
        <v>0</v>
      </c>
    </row>
    <row r="163" spans="1:53" s="4" customFormat="1">
      <c r="A163" s="109"/>
      <c r="B163" s="146"/>
      <c r="C163" s="114"/>
      <c r="D163" s="25"/>
      <c r="E163" s="25"/>
      <c r="F163" s="37" t="s">
        <v>23</v>
      </c>
      <c r="G163" s="37">
        <v>319162</v>
      </c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>
        <f t="shared" si="271"/>
        <v>0</v>
      </c>
      <c r="W163" s="26"/>
      <c r="X163" s="26"/>
      <c r="Y163" s="26"/>
      <c r="Z163" s="26"/>
      <c r="AA163" s="26"/>
      <c r="AB163" s="26"/>
      <c r="AC163" s="26"/>
      <c r="AD163" s="67">
        <f t="shared" si="214"/>
        <v>0</v>
      </c>
      <c r="AE163" s="26"/>
      <c r="AF163" s="26">
        <f t="shared" ref="AF163:AF200" si="291">V163+AE163</f>
        <v>0</v>
      </c>
      <c r="AG163" s="26"/>
      <c r="AH163" s="26"/>
      <c r="AI163" s="26"/>
      <c r="AJ163" s="26"/>
      <c r="AK163" s="26"/>
      <c r="AL163" s="26"/>
      <c r="AM163" s="26"/>
      <c r="AN163" s="26"/>
      <c r="AO163" s="67">
        <f t="shared" si="237"/>
        <v>0</v>
      </c>
      <c r="AP163" s="67">
        <f t="shared" si="238"/>
        <v>0</v>
      </c>
      <c r="AQ163" s="67">
        <f t="shared" si="239"/>
        <v>0</v>
      </c>
      <c r="AR163" s="26"/>
      <c r="AS163" s="26"/>
      <c r="AT163" s="26"/>
      <c r="AU163" s="26"/>
      <c r="AV163" s="26"/>
      <c r="AW163" s="26">
        <f t="shared" si="240"/>
        <v>0</v>
      </c>
      <c r="AX163" s="26" t="s">
        <v>204</v>
      </c>
      <c r="AY163" s="4">
        <v>0</v>
      </c>
      <c r="AZ163" s="4">
        <f t="shared" si="276"/>
        <v>0</v>
      </c>
    </row>
    <row r="164" spans="1:53" s="4" customFormat="1">
      <c r="A164" s="109"/>
      <c r="B164" s="146"/>
      <c r="C164" s="114"/>
      <c r="D164" s="25"/>
      <c r="E164" s="25"/>
      <c r="F164" s="37" t="s">
        <v>42</v>
      </c>
      <c r="G164" s="37">
        <v>319162</v>
      </c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>
        <f t="shared" si="271"/>
        <v>0</v>
      </c>
      <c r="W164" s="26">
        <f>476100*25%+975</f>
        <v>120000</v>
      </c>
      <c r="X164" s="26">
        <f>865428.53*25%-975+617.867499999993</f>
        <v>216000</v>
      </c>
      <c r="Y164" s="26">
        <f>622576*25%-617.867499999993+973.867499999993</f>
        <v>156000</v>
      </c>
      <c r="Z164" s="26">
        <f>727130*25%+2185.46999999973*25%-973.867499999993+645.000000000058</f>
        <v>182000</v>
      </c>
      <c r="AA164" s="26"/>
      <c r="AB164" s="26"/>
      <c r="AC164" s="26"/>
      <c r="AD164" s="67">
        <f t="shared" si="214"/>
        <v>674000</v>
      </c>
      <c r="AE164" s="26">
        <v>254044.42</v>
      </c>
      <c r="AF164" s="26">
        <f t="shared" si="291"/>
        <v>254044.42</v>
      </c>
      <c r="AG164" s="26">
        <f>995333.33+666.67</f>
        <v>996000</v>
      </c>
      <c r="AH164" s="26"/>
      <c r="AI164" s="26"/>
      <c r="AJ164" s="26"/>
      <c r="AK164" s="26"/>
      <c r="AL164" s="26"/>
      <c r="AM164" s="26"/>
      <c r="AN164" s="26"/>
      <c r="AO164" s="67">
        <f t="shared" si="237"/>
        <v>996000</v>
      </c>
      <c r="AP164" s="67">
        <f t="shared" si="238"/>
        <v>0</v>
      </c>
      <c r="AQ164" s="67">
        <f t="shared" si="239"/>
        <v>996000</v>
      </c>
      <c r="AR164" s="26">
        <v>-666.67</v>
      </c>
      <c r="AS164" s="26"/>
      <c r="AT164" s="26"/>
      <c r="AU164" s="26"/>
      <c r="AV164" s="26"/>
      <c r="AW164" s="26">
        <f t="shared" si="240"/>
        <v>1249377.75</v>
      </c>
      <c r="AX164" s="26" t="s">
        <v>204</v>
      </c>
      <c r="AY164" s="4">
        <v>1249377.75</v>
      </c>
      <c r="AZ164" s="4">
        <f t="shared" si="276"/>
        <v>0</v>
      </c>
    </row>
    <row r="165" spans="1:53" s="4" customFormat="1" ht="30">
      <c r="A165" s="109"/>
      <c r="B165" s="146"/>
      <c r="C165" s="114"/>
      <c r="D165" s="25" t="s">
        <v>22</v>
      </c>
      <c r="E165" s="25" t="s">
        <v>199</v>
      </c>
      <c r="F165" s="59" t="s">
        <v>202</v>
      </c>
      <c r="G165" s="37">
        <v>319162</v>
      </c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>
        <f t="shared" si="271"/>
        <v>0</v>
      </c>
      <c r="W165" s="26">
        <f>476100*75%+925</f>
        <v>358000</v>
      </c>
      <c r="X165" s="26">
        <f>865428.53*75%-925+853.602500000037</f>
        <v>649000</v>
      </c>
      <c r="Y165" s="26">
        <f>622576*75%-853.602500000037+921.602500000037</f>
        <v>467000</v>
      </c>
      <c r="Z165" s="26">
        <f>727130*75%+2185.46999999973*75%-921.602500000037+935.000000000232</f>
        <v>547000</v>
      </c>
      <c r="AA165" s="26"/>
      <c r="AB165" s="26"/>
      <c r="AC165" s="26"/>
      <c r="AD165" s="67">
        <f t="shared" si="214"/>
        <v>2021000</v>
      </c>
      <c r="AE165" s="26">
        <v>762168.18</v>
      </c>
      <c r="AF165" s="26">
        <f t="shared" si="291"/>
        <v>762168.18</v>
      </c>
      <c r="AG165" s="26">
        <f>2985965.07+34.93</f>
        <v>2986000</v>
      </c>
      <c r="AH165" s="26"/>
      <c r="AI165" s="26"/>
      <c r="AJ165" s="26"/>
      <c r="AK165" s="26"/>
      <c r="AL165" s="26"/>
      <c r="AM165" s="26"/>
      <c r="AN165" s="26"/>
      <c r="AO165" s="67">
        <f t="shared" si="237"/>
        <v>2986000</v>
      </c>
      <c r="AP165" s="67">
        <f t="shared" si="238"/>
        <v>0</v>
      </c>
      <c r="AQ165" s="67">
        <f t="shared" si="239"/>
        <v>2986000</v>
      </c>
      <c r="AR165" s="26">
        <v>-34.93</v>
      </c>
      <c r="AS165" s="26"/>
      <c r="AT165" s="26"/>
      <c r="AU165" s="26"/>
      <c r="AV165" s="26"/>
      <c r="AW165" s="26">
        <f t="shared" si="240"/>
        <v>3748133.25</v>
      </c>
      <c r="AX165" s="26" t="s">
        <v>204</v>
      </c>
      <c r="AY165" s="4">
        <v>3748133.25</v>
      </c>
      <c r="AZ165" s="4">
        <f t="shared" si="276"/>
        <v>0</v>
      </c>
    </row>
    <row r="166" spans="1:53" s="4" customFormat="1">
      <c r="A166" s="109"/>
      <c r="B166" s="146"/>
      <c r="C166" s="114"/>
      <c r="D166" s="25" t="s">
        <v>22</v>
      </c>
      <c r="E166" s="25" t="s">
        <v>200</v>
      </c>
      <c r="F166" s="59" t="s">
        <v>28</v>
      </c>
      <c r="G166" s="37">
        <v>319162</v>
      </c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>
        <f t="shared" si="271"/>
        <v>0</v>
      </c>
      <c r="W166" s="26"/>
      <c r="X166" s="26"/>
      <c r="Y166" s="26"/>
      <c r="Z166" s="26"/>
      <c r="AA166" s="26"/>
      <c r="AB166" s="26"/>
      <c r="AC166" s="26"/>
      <c r="AD166" s="67">
        <f t="shared" si="214"/>
        <v>0</v>
      </c>
      <c r="AE166" s="26"/>
      <c r="AF166" s="26">
        <f t="shared" si="291"/>
        <v>0</v>
      </c>
      <c r="AG166" s="26"/>
      <c r="AH166" s="26"/>
      <c r="AI166" s="26"/>
      <c r="AJ166" s="26"/>
      <c r="AK166" s="26"/>
      <c r="AL166" s="26"/>
      <c r="AM166" s="26"/>
      <c r="AN166" s="26"/>
      <c r="AO166" s="67">
        <f t="shared" si="237"/>
        <v>0</v>
      </c>
      <c r="AP166" s="67">
        <f t="shared" si="238"/>
        <v>0</v>
      </c>
      <c r="AQ166" s="67">
        <f t="shared" si="239"/>
        <v>0</v>
      </c>
      <c r="AR166" s="26"/>
      <c r="AS166" s="26"/>
      <c r="AT166" s="26"/>
      <c r="AU166" s="26"/>
      <c r="AV166" s="26"/>
      <c r="AW166" s="26">
        <f t="shared" si="240"/>
        <v>0</v>
      </c>
      <c r="AX166" s="26" t="s">
        <v>204</v>
      </c>
      <c r="AY166" s="4">
        <v>0</v>
      </c>
      <c r="AZ166" s="4">
        <f t="shared" si="276"/>
        <v>0</v>
      </c>
    </row>
    <row r="167" spans="1:53" s="4" customFormat="1">
      <c r="A167" s="110"/>
      <c r="B167" s="147"/>
      <c r="C167" s="115"/>
      <c r="D167" s="25" t="s">
        <v>22</v>
      </c>
      <c r="E167" s="25"/>
      <c r="F167" s="37" t="s">
        <v>29</v>
      </c>
      <c r="G167" s="37">
        <v>319162</v>
      </c>
      <c r="H167" s="26">
        <f>H162+H165+H166</f>
        <v>0</v>
      </c>
      <c r="I167" s="26">
        <f t="shared" ref="I167:AW167" si="292">I162+I165+I166</f>
        <v>0</v>
      </c>
      <c r="J167" s="26">
        <f t="shared" si="292"/>
        <v>0</v>
      </c>
      <c r="K167" s="26">
        <f t="shared" si="292"/>
        <v>0</v>
      </c>
      <c r="L167" s="26">
        <f t="shared" si="292"/>
        <v>0</v>
      </c>
      <c r="M167" s="26">
        <f t="shared" si="292"/>
        <v>0</v>
      </c>
      <c r="N167" s="26">
        <f t="shared" si="292"/>
        <v>0</v>
      </c>
      <c r="O167" s="26">
        <f t="shared" si="292"/>
        <v>0</v>
      </c>
      <c r="P167" s="26">
        <f t="shared" si="292"/>
        <v>0</v>
      </c>
      <c r="Q167" s="26">
        <f t="shared" si="292"/>
        <v>0</v>
      </c>
      <c r="R167" s="26">
        <f t="shared" si="292"/>
        <v>0</v>
      </c>
      <c r="S167" s="26">
        <f t="shared" si="292"/>
        <v>0</v>
      </c>
      <c r="T167" s="26">
        <f t="shared" si="292"/>
        <v>0</v>
      </c>
      <c r="U167" s="26">
        <f t="shared" si="292"/>
        <v>0</v>
      </c>
      <c r="V167" s="26">
        <f t="shared" si="292"/>
        <v>0</v>
      </c>
      <c r="W167" s="26">
        <f t="shared" si="292"/>
        <v>478000</v>
      </c>
      <c r="X167" s="26">
        <f t="shared" si="292"/>
        <v>865000</v>
      </c>
      <c r="Y167" s="26">
        <f t="shared" si="292"/>
        <v>623000</v>
      </c>
      <c r="Z167" s="26">
        <f t="shared" si="292"/>
        <v>729000</v>
      </c>
      <c r="AA167" s="26"/>
      <c r="AB167" s="26"/>
      <c r="AC167" s="26"/>
      <c r="AD167" s="67">
        <f t="shared" si="292"/>
        <v>2695000</v>
      </c>
      <c r="AE167" s="26">
        <f t="shared" si="292"/>
        <v>1016212.6000000001</v>
      </c>
      <c r="AF167" s="26">
        <f t="shared" si="292"/>
        <v>1016212.6000000001</v>
      </c>
      <c r="AG167" s="26">
        <f t="shared" si="292"/>
        <v>3982000</v>
      </c>
      <c r="AH167" s="26">
        <f t="shared" si="292"/>
        <v>0</v>
      </c>
      <c r="AI167" s="26">
        <f t="shared" si="292"/>
        <v>0</v>
      </c>
      <c r="AJ167" s="26">
        <f t="shared" si="292"/>
        <v>0</v>
      </c>
      <c r="AK167" s="26">
        <f t="shared" si="292"/>
        <v>0</v>
      </c>
      <c r="AL167" s="26">
        <f t="shared" si="292"/>
        <v>0</v>
      </c>
      <c r="AM167" s="26">
        <f t="shared" si="292"/>
        <v>0</v>
      </c>
      <c r="AN167" s="26">
        <f t="shared" si="292"/>
        <v>0</v>
      </c>
      <c r="AO167" s="67">
        <f t="shared" si="292"/>
        <v>3982000</v>
      </c>
      <c r="AP167" s="67">
        <f t="shared" si="292"/>
        <v>0</v>
      </c>
      <c r="AQ167" s="67">
        <f t="shared" si="292"/>
        <v>3982000</v>
      </c>
      <c r="AR167" s="26">
        <f t="shared" si="292"/>
        <v>-701.59999999999991</v>
      </c>
      <c r="AS167" s="26">
        <f t="shared" si="292"/>
        <v>0</v>
      </c>
      <c r="AT167" s="26">
        <f t="shared" si="292"/>
        <v>0</v>
      </c>
      <c r="AU167" s="26">
        <f t="shared" si="292"/>
        <v>0</v>
      </c>
      <c r="AV167" s="26">
        <f t="shared" si="292"/>
        <v>0</v>
      </c>
      <c r="AW167" s="26">
        <f t="shared" si="292"/>
        <v>4997511</v>
      </c>
      <c r="AX167" s="26" t="s">
        <v>204</v>
      </c>
      <c r="AY167" s="4">
        <v>4997511</v>
      </c>
      <c r="AZ167" s="4">
        <f t="shared" si="276"/>
        <v>0</v>
      </c>
    </row>
    <row r="168" spans="1:53" s="5" customFormat="1">
      <c r="A168" s="135" t="s">
        <v>196</v>
      </c>
      <c r="B168" s="138" t="s">
        <v>23</v>
      </c>
      <c r="C168" s="129">
        <v>66</v>
      </c>
      <c r="D168" s="7" t="s">
        <v>82</v>
      </c>
      <c r="E168" s="7"/>
      <c r="F168" s="8"/>
      <c r="G168" s="8">
        <v>324735</v>
      </c>
      <c r="H168" s="9"/>
      <c r="I168" s="9"/>
      <c r="J168" s="9"/>
      <c r="K168" s="9"/>
      <c r="L168" s="9"/>
      <c r="M168" s="9">
        <f t="shared" ref="M168:M170" si="293">SUM(I168:L168)</f>
        <v>0</v>
      </c>
      <c r="N168" s="9"/>
      <c r="O168" s="9">
        <f>H168+N168</f>
        <v>0</v>
      </c>
      <c r="P168" s="9"/>
      <c r="Q168" s="9"/>
      <c r="R168" s="9"/>
      <c r="S168" s="9"/>
      <c r="T168" s="9">
        <f t="shared" ref="T168:T169" si="294">SUM(P168:S168)</f>
        <v>0</v>
      </c>
      <c r="U168" s="9"/>
      <c r="V168" s="9">
        <f t="shared" ref="V168:V169" si="295">O168+U168</f>
        <v>0</v>
      </c>
      <c r="W168" s="9"/>
      <c r="X168" s="9"/>
      <c r="Y168" s="9"/>
      <c r="Z168" s="9"/>
      <c r="AA168" s="9"/>
      <c r="AB168" s="9"/>
      <c r="AC168" s="9"/>
      <c r="AD168" s="66">
        <f>SUM(W168:Z168)</f>
        <v>0</v>
      </c>
      <c r="AE168" s="9"/>
      <c r="AF168" s="9">
        <f t="shared" si="291"/>
        <v>0</v>
      </c>
      <c r="AG168" s="9"/>
      <c r="AH168" s="9"/>
      <c r="AI168" s="9"/>
      <c r="AJ168" s="9"/>
      <c r="AK168" s="9"/>
      <c r="AL168" s="9"/>
      <c r="AM168" s="9"/>
      <c r="AN168" s="9"/>
      <c r="AO168" s="66">
        <f t="shared" si="237"/>
        <v>0</v>
      </c>
      <c r="AP168" s="66">
        <f t="shared" si="238"/>
        <v>0</v>
      </c>
      <c r="AQ168" s="66">
        <f t="shared" si="239"/>
        <v>0</v>
      </c>
      <c r="AR168" s="9"/>
      <c r="AS168" s="9"/>
      <c r="AT168" s="9"/>
      <c r="AU168" s="9"/>
      <c r="AV168" s="9"/>
      <c r="AW168" s="9">
        <f t="shared" si="240"/>
        <v>0</v>
      </c>
      <c r="AX168" s="10" t="s">
        <v>147</v>
      </c>
    </row>
    <row r="169" spans="1:53" s="23" customFormat="1">
      <c r="A169" s="136"/>
      <c r="B169" s="139"/>
      <c r="C169" s="156"/>
      <c r="D169" s="36" t="s">
        <v>82</v>
      </c>
      <c r="E169" s="7"/>
      <c r="F169" s="8"/>
      <c r="G169" s="8">
        <v>324735</v>
      </c>
      <c r="H169" s="40"/>
      <c r="I169" s="40"/>
      <c r="J169" s="40"/>
      <c r="K169" s="40"/>
      <c r="L169" s="40"/>
      <c r="M169" s="9">
        <f t="shared" si="293"/>
        <v>0</v>
      </c>
      <c r="N169" s="9"/>
      <c r="O169" s="9">
        <f t="shared" ref="O169" si="296">H169+N169</f>
        <v>0</v>
      </c>
      <c r="P169" s="9"/>
      <c r="Q169" s="9"/>
      <c r="R169" s="9"/>
      <c r="S169" s="9"/>
      <c r="T169" s="40">
        <f t="shared" si="294"/>
        <v>0</v>
      </c>
      <c r="U169" s="9"/>
      <c r="V169" s="9">
        <f t="shared" si="295"/>
        <v>0</v>
      </c>
      <c r="W169" s="9"/>
      <c r="X169" s="9"/>
      <c r="Y169" s="9"/>
      <c r="Z169" s="9"/>
      <c r="AA169" s="9"/>
      <c r="AB169" s="9"/>
      <c r="AC169" s="9"/>
      <c r="AD169" s="70">
        <f t="shared" ref="AD169:AD173" si="297">SUM(W169:Z169)</f>
        <v>0</v>
      </c>
      <c r="AE169" s="40"/>
      <c r="AF169" s="40">
        <f t="shared" si="291"/>
        <v>0</v>
      </c>
      <c r="AG169" s="40"/>
      <c r="AH169" s="40"/>
      <c r="AI169" s="40"/>
      <c r="AJ169" s="40"/>
      <c r="AK169" s="40"/>
      <c r="AL169" s="40"/>
      <c r="AM169" s="40"/>
      <c r="AN169" s="40"/>
      <c r="AO169" s="70">
        <f t="shared" si="237"/>
        <v>0</v>
      </c>
      <c r="AP169" s="70">
        <f t="shared" si="238"/>
        <v>0</v>
      </c>
      <c r="AQ169" s="70">
        <f t="shared" si="239"/>
        <v>0</v>
      </c>
      <c r="AR169" s="40"/>
      <c r="AS169" s="40"/>
      <c r="AT169" s="40"/>
      <c r="AU169" s="40"/>
      <c r="AV169" s="40"/>
      <c r="AW169" s="9">
        <f t="shared" si="240"/>
        <v>0</v>
      </c>
      <c r="AX169" s="10" t="s">
        <v>147</v>
      </c>
    </row>
    <row r="170" spans="1:53" s="5" customFormat="1" ht="15" customHeight="1">
      <c r="A170" s="136"/>
      <c r="B170" s="139"/>
      <c r="C170" s="156"/>
      <c r="D170" s="7" t="s">
        <v>21</v>
      </c>
      <c r="E170" s="7"/>
      <c r="F170" s="7" t="s">
        <v>19</v>
      </c>
      <c r="G170" s="8">
        <v>324735</v>
      </c>
      <c r="H170" s="9">
        <f>H174-H168-H169</f>
        <v>0</v>
      </c>
      <c r="I170" s="9">
        <f t="shared" ref="I170:L170" si="298">I174-I168-I169</f>
        <v>0</v>
      </c>
      <c r="J170" s="9">
        <f t="shared" si="298"/>
        <v>0</v>
      </c>
      <c r="K170" s="9">
        <f t="shared" si="298"/>
        <v>0</v>
      </c>
      <c r="L170" s="9">
        <f t="shared" si="298"/>
        <v>0</v>
      </c>
      <c r="M170" s="9">
        <f t="shared" si="293"/>
        <v>0</v>
      </c>
      <c r="N170" s="9">
        <f t="shared" ref="N170" si="299">N174-N168-N169</f>
        <v>0</v>
      </c>
      <c r="O170" s="9">
        <f>O174-O168-O169</f>
        <v>0</v>
      </c>
      <c r="P170" s="9">
        <f>P174-P168-P169</f>
        <v>9299000</v>
      </c>
      <c r="Q170" s="9">
        <f t="shared" ref="Q170:V170" si="300">Q174-Q168-Q169</f>
        <v>2606000</v>
      </c>
      <c r="R170" s="9">
        <f t="shared" si="300"/>
        <v>0</v>
      </c>
      <c r="S170" s="9">
        <f t="shared" si="300"/>
        <v>0</v>
      </c>
      <c r="T170" s="9">
        <f t="shared" si="300"/>
        <v>11905000</v>
      </c>
      <c r="U170" s="9">
        <f t="shared" si="300"/>
        <v>9007387.1400000006</v>
      </c>
      <c r="V170" s="9">
        <f t="shared" si="300"/>
        <v>9007387.1400000006</v>
      </c>
      <c r="W170" s="9">
        <v>2637000</v>
      </c>
      <c r="X170" s="9"/>
      <c r="Y170" s="9"/>
      <c r="Z170" s="9"/>
      <c r="AA170" s="9"/>
      <c r="AB170" s="9"/>
      <c r="AC170" s="9"/>
      <c r="AD170" s="66">
        <f>SUM(W170:Z170)</f>
        <v>2637000</v>
      </c>
      <c r="AE170" s="9">
        <v>2570536.79</v>
      </c>
      <c r="AF170" s="9">
        <f t="shared" si="291"/>
        <v>11577923.93</v>
      </c>
      <c r="AG170" s="9"/>
      <c r="AH170" s="9"/>
      <c r="AI170" s="9"/>
      <c r="AJ170" s="9"/>
      <c r="AK170" s="9"/>
      <c r="AL170" s="9"/>
      <c r="AM170" s="9"/>
      <c r="AN170" s="9"/>
      <c r="AO170" s="66">
        <f t="shared" si="237"/>
        <v>0</v>
      </c>
      <c r="AP170" s="66">
        <f t="shared" si="238"/>
        <v>0</v>
      </c>
      <c r="AQ170" s="66">
        <f t="shared" si="239"/>
        <v>0</v>
      </c>
      <c r="AR170" s="9"/>
      <c r="AS170" s="9"/>
      <c r="AT170" s="9"/>
      <c r="AU170" s="9"/>
      <c r="AV170" s="9"/>
      <c r="AW170" s="9">
        <f t="shared" si="240"/>
        <v>11577923.93</v>
      </c>
      <c r="AX170" s="10" t="s">
        <v>147</v>
      </c>
    </row>
    <row r="171" spans="1:53" s="5" customFormat="1">
      <c r="A171" s="136"/>
      <c r="B171" s="139"/>
      <c r="C171" s="156"/>
      <c r="D171" s="7" t="s">
        <v>82</v>
      </c>
      <c r="E171" s="7"/>
      <c r="F171" s="8" t="s">
        <v>34</v>
      </c>
      <c r="G171" s="8">
        <v>324735</v>
      </c>
      <c r="H171" s="9">
        <f>SUM(H168:H170)</f>
        <v>0</v>
      </c>
      <c r="I171" s="9">
        <f t="shared" ref="I171:N171" si="301">SUM(I168:I170)</f>
        <v>0</v>
      </c>
      <c r="J171" s="9">
        <f t="shared" si="301"/>
        <v>0</v>
      </c>
      <c r="K171" s="9">
        <f t="shared" si="301"/>
        <v>0</v>
      </c>
      <c r="L171" s="9">
        <f t="shared" si="301"/>
        <v>0</v>
      </c>
      <c r="M171" s="9">
        <f t="shared" si="301"/>
        <v>0</v>
      </c>
      <c r="N171" s="9">
        <f t="shared" si="301"/>
        <v>0</v>
      </c>
      <c r="O171" s="9">
        <f>SUM(O168:O170)</f>
        <v>0</v>
      </c>
      <c r="P171" s="9">
        <f t="shared" ref="P171:AW171" si="302">SUM(P168:P170)</f>
        <v>9299000</v>
      </c>
      <c r="Q171" s="9">
        <f t="shared" si="302"/>
        <v>2606000</v>
      </c>
      <c r="R171" s="9">
        <f t="shared" si="302"/>
        <v>0</v>
      </c>
      <c r="S171" s="9">
        <f t="shared" si="302"/>
        <v>0</v>
      </c>
      <c r="T171" s="9">
        <f t="shared" si="302"/>
        <v>11905000</v>
      </c>
      <c r="U171" s="9">
        <f t="shared" si="302"/>
        <v>9007387.1400000006</v>
      </c>
      <c r="V171" s="9">
        <f t="shared" si="302"/>
        <v>9007387.1400000006</v>
      </c>
      <c r="W171" s="9">
        <f t="shared" si="302"/>
        <v>2637000</v>
      </c>
      <c r="X171" s="9">
        <f t="shared" si="302"/>
        <v>0</v>
      </c>
      <c r="Y171" s="9">
        <f t="shared" si="302"/>
        <v>0</v>
      </c>
      <c r="Z171" s="9">
        <f t="shared" si="302"/>
        <v>0</v>
      </c>
      <c r="AA171" s="9"/>
      <c r="AB171" s="9"/>
      <c r="AC171" s="9"/>
      <c r="AD171" s="66">
        <f t="shared" si="302"/>
        <v>2637000</v>
      </c>
      <c r="AE171" s="9">
        <f t="shared" si="302"/>
        <v>2570536.79</v>
      </c>
      <c r="AF171" s="9">
        <f t="shared" si="302"/>
        <v>11577923.93</v>
      </c>
      <c r="AG171" s="9">
        <f t="shared" si="302"/>
        <v>0</v>
      </c>
      <c r="AH171" s="9">
        <f t="shared" si="302"/>
        <v>0</v>
      </c>
      <c r="AI171" s="9">
        <f t="shared" si="302"/>
        <v>0</v>
      </c>
      <c r="AJ171" s="9">
        <f t="shared" si="302"/>
        <v>0</v>
      </c>
      <c r="AK171" s="9">
        <f t="shared" si="302"/>
        <v>0</v>
      </c>
      <c r="AL171" s="9">
        <f t="shared" si="302"/>
        <v>0</v>
      </c>
      <c r="AM171" s="9">
        <f t="shared" si="302"/>
        <v>0</v>
      </c>
      <c r="AN171" s="9">
        <f t="shared" si="302"/>
        <v>0</v>
      </c>
      <c r="AO171" s="66">
        <f t="shared" si="302"/>
        <v>0</v>
      </c>
      <c r="AP171" s="66">
        <f t="shared" si="302"/>
        <v>0</v>
      </c>
      <c r="AQ171" s="66">
        <f t="shared" si="302"/>
        <v>0</v>
      </c>
      <c r="AR171" s="9">
        <f t="shared" si="302"/>
        <v>0</v>
      </c>
      <c r="AS171" s="9">
        <f t="shared" si="302"/>
        <v>0</v>
      </c>
      <c r="AT171" s="9">
        <f t="shared" si="302"/>
        <v>0</v>
      </c>
      <c r="AU171" s="9">
        <f t="shared" si="302"/>
        <v>0</v>
      </c>
      <c r="AV171" s="9">
        <f t="shared" si="302"/>
        <v>0</v>
      </c>
      <c r="AW171" s="9">
        <f t="shared" si="302"/>
        <v>11577923.93</v>
      </c>
      <c r="AX171" s="10" t="s">
        <v>147</v>
      </c>
    </row>
    <row r="172" spans="1:53" s="4" customFormat="1" ht="94.5" customHeight="1">
      <c r="A172" s="136"/>
      <c r="B172" s="139"/>
      <c r="C172" s="156"/>
      <c r="D172" s="25" t="s">
        <v>22</v>
      </c>
      <c r="E172" s="25">
        <v>510228</v>
      </c>
      <c r="F172" s="37" t="s">
        <v>80</v>
      </c>
      <c r="G172" s="37">
        <v>324735</v>
      </c>
      <c r="H172" s="14"/>
      <c r="I172" s="14"/>
      <c r="J172" s="14"/>
      <c r="K172" s="26"/>
      <c r="L172" s="26"/>
      <c r="M172" s="26">
        <f>SUM(I172:L172)</f>
        <v>0</v>
      </c>
      <c r="N172" s="26"/>
      <c r="O172" s="26">
        <f>H172+N172</f>
        <v>0</v>
      </c>
      <c r="P172" s="26"/>
      <c r="Q172" s="26">
        <v>2606000</v>
      </c>
      <c r="R172" s="26"/>
      <c r="S172" s="26"/>
      <c r="T172" s="26">
        <f>SUM(P172:S172)</f>
        <v>2606000</v>
      </c>
      <c r="U172" s="26">
        <f>9007387.14-U173</f>
        <v>2605260.1800000006</v>
      </c>
      <c r="V172" s="26">
        <f>O172+U172</f>
        <v>2605260.1800000006</v>
      </c>
      <c r="W172" s="26">
        <v>23000</v>
      </c>
      <c r="X172" s="26"/>
      <c r="Y172" s="26"/>
      <c r="Z172" s="26"/>
      <c r="AA172" s="26"/>
      <c r="AB172" s="26"/>
      <c r="AC172" s="26"/>
      <c r="AD172" s="67">
        <f t="shared" si="297"/>
        <v>23000</v>
      </c>
      <c r="AE172" s="26">
        <v>22603.49</v>
      </c>
      <c r="AF172" s="26">
        <f t="shared" si="291"/>
        <v>2627863.6700000009</v>
      </c>
      <c r="AG172" s="26"/>
      <c r="AH172" s="26"/>
      <c r="AI172" s="26"/>
      <c r="AJ172" s="26"/>
      <c r="AK172" s="26"/>
      <c r="AL172" s="26"/>
      <c r="AM172" s="26"/>
      <c r="AN172" s="26"/>
      <c r="AO172" s="67">
        <f t="shared" si="237"/>
        <v>0</v>
      </c>
      <c r="AP172" s="67">
        <f t="shared" si="238"/>
        <v>0</v>
      </c>
      <c r="AQ172" s="67">
        <f t="shared" si="239"/>
        <v>0</v>
      </c>
      <c r="AR172" s="26"/>
      <c r="AS172" s="26"/>
      <c r="AT172" s="26"/>
      <c r="AU172" s="26"/>
      <c r="AV172" s="26"/>
      <c r="AW172" s="26">
        <f t="shared" si="240"/>
        <v>2627863.6700000009</v>
      </c>
      <c r="AX172" s="14" t="s">
        <v>147</v>
      </c>
      <c r="BA172" s="41"/>
    </row>
    <row r="173" spans="1:53" s="4" customFormat="1" ht="109.5" customHeight="1">
      <c r="A173" s="136"/>
      <c r="B173" s="139"/>
      <c r="C173" s="156"/>
      <c r="D173" s="25" t="s">
        <v>22</v>
      </c>
      <c r="E173" s="25">
        <v>510228</v>
      </c>
      <c r="F173" s="37" t="s">
        <v>81</v>
      </c>
      <c r="G173" s="37">
        <v>324735</v>
      </c>
      <c r="H173" s="26"/>
      <c r="I173" s="26"/>
      <c r="J173" s="26"/>
      <c r="K173" s="26"/>
      <c r="L173" s="26"/>
      <c r="M173" s="26">
        <f>SUM(I173:L173)</f>
        <v>0</v>
      </c>
      <c r="N173" s="26"/>
      <c r="O173" s="26">
        <f>H173+N173</f>
        <v>0</v>
      </c>
      <c r="P173" s="26">
        <v>9299000</v>
      </c>
      <c r="Q173" s="26"/>
      <c r="R173" s="26">
        <f>3746232-375946-169+883-3371000</f>
        <v>0</v>
      </c>
      <c r="S173" s="26">
        <f>56196+148750-883+937-205000</f>
        <v>0</v>
      </c>
      <c r="T173" s="26">
        <f>SUM(P173:S173)</f>
        <v>9299000</v>
      </c>
      <c r="U173" s="26">
        <v>6402126.96</v>
      </c>
      <c r="V173" s="26">
        <f>O173+U173</f>
        <v>6402126.96</v>
      </c>
      <c r="W173" s="26">
        <f>3064000-450000</f>
        <v>2614000</v>
      </c>
      <c r="X173" s="26"/>
      <c r="Y173" s="26"/>
      <c r="Z173" s="26"/>
      <c r="AA173" s="26"/>
      <c r="AB173" s="26"/>
      <c r="AC173" s="26"/>
      <c r="AD173" s="67">
        <f t="shared" si="297"/>
        <v>2614000</v>
      </c>
      <c r="AE173" s="26">
        <f>3725563.73-AE172-1155026.94</f>
        <v>2547933.2999999998</v>
      </c>
      <c r="AF173" s="26">
        <f t="shared" si="291"/>
        <v>8950060.2599999998</v>
      </c>
      <c r="AG173" s="26"/>
      <c r="AH173" s="26"/>
      <c r="AI173" s="26"/>
      <c r="AJ173" s="26"/>
      <c r="AK173" s="26"/>
      <c r="AL173" s="26"/>
      <c r="AM173" s="26"/>
      <c r="AN173" s="26"/>
      <c r="AO173" s="67">
        <f t="shared" si="237"/>
        <v>0</v>
      </c>
      <c r="AP173" s="67">
        <f t="shared" si="238"/>
        <v>0</v>
      </c>
      <c r="AQ173" s="67">
        <f t="shared" si="239"/>
        <v>0</v>
      </c>
      <c r="AR173" s="26"/>
      <c r="AS173" s="26"/>
      <c r="AT173" s="26"/>
      <c r="AU173" s="26"/>
      <c r="AV173" s="26"/>
      <c r="AW173" s="26">
        <f t="shared" si="240"/>
        <v>8950060.2599999998</v>
      </c>
      <c r="AX173" s="14" t="s">
        <v>147</v>
      </c>
      <c r="BA173" s="41"/>
    </row>
    <row r="174" spans="1:53" s="4" customFormat="1">
      <c r="A174" s="137"/>
      <c r="B174" s="140"/>
      <c r="C174" s="157"/>
      <c r="D174" s="25" t="s">
        <v>22</v>
      </c>
      <c r="E174" s="25">
        <v>510228</v>
      </c>
      <c r="F174" s="37" t="s">
        <v>29</v>
      </c>
      <c r="G174" s="37">
        <v>324735</v>
      </c>
      <c r="H174" s="26">
        <f>SUM(H172:H173)</f>
        <v>0</v>
      </c>
      <c r="I174" s="26">
        <f>SUM(I172:I173)</f>
        <v>0</v>
      </c>
      <c r="J174" s="26">
        <f t="shared" ref="J174:N174" si="303">SUM(J172:J173)</f>
        <v>0</v>
      </c>
      <c r="K174" s="26">
        <f t="shared" si="303"/>
        <v>0</v>
      </c>
      <c r="L174" s="26">
        <f t="shared" si="303"/>
        <v>0</v>
      </c>
      <c r="M174" s="26">
        <f t="shared" si="303"/>
        <v>0</v>
      </c>
      <c r="N174" s="26">
        <f t="shared" si="303"/>
        <v>0</v>
      </c>
      <c r="O174" s="26">
        <f>SUM(O172:O173)</f>
        <v>0</v>
      </c>
      <c r="P174" s="26">
        <f>SUM(P172:P173)</f>
        <v>9299000</v>
      </c>
      <c r="Q174" s="26">
        <f t="shared" ref="Q174:AW174" si="304">SUM(Q172:Q173)</f>
        <v>2606000</v>
      </c>
      <c r="R174" s="26">
        <f t="shared" si="304"/>
        <v>0</v>
      </c>
      <c r="S174" s="26">
        <f t="shared" si="304"/>
        <v>0</v>
      </c>
      <c r="T174" s="26">
        <f t="shared" si="304"/>
        <v>11905000</v>
      </c>
      <c r="U174" s="26">
        <f t="shared" si="304"/>
        <v>9007387.1400000006</v>
      </c>
      <c r="V174" s="26">
        <f t="shared" si="304"/>
        <v>9007387.1400000006</v>
      </c>
      <c r="W174" s="26">
        <f t="shared" si="304"/>
        <v>2637000</v>
      </c>
      <c r="X174" s="26">
        <f t="shared" si="304"/>
        <v>0</v>
      </c>
      <c r="Y174" s="26">
        <f t="shared" si="304"/>
        <v>0</v>
      </c>
      <c r="Z174" s="26">
        <f t="shared" si="304"/>
        <v>0</v>
      </c>
      <c r="AA174" s="26"/>
      <c r="AB174" s="26"/>
      <c r="AC174" s="26"/>
      <c r="AD174" s="67">
        <f t="shared" si="304"/>
        <v>2637000</v>
      </c>
      <c r="AE174" s="26">
        <f t="shared" si="304"/>
        <v>2570536.79</v>
      </c>
      <c r="AF174" s="26">
        <f t="shared" si="304"/>
        <v>11577923.93</v>
      </c>
      <c r="AG174" s="26">
        <f t="shared" si="304"/>
        <v>0</v>
      </c>
      <c r="AH174" s="26">
        <f t="shared" si="304"/>
        <v>0</v>
      </c>
      <c r="AI174" s="26">
        <f t="shared" si="304"/>
        <v>0</v>
      </c>
      <c r="AJ174" s="26">
        <f t="shared" si="304"/>
        <v>0</v>
      </c>
      <c r="AK174" s="26">
        <f t="shared" si="304"/>
        <v>0</v>
      </c>
      <c r="AL174" s="26">
        <f t="shared" si="304"/>
        <v>0</v>
      </c>
      <c r="AM174" s="26">
        <f t="shared" si="304"/>
        <v>0</v>
      </c>
      <c r="AN174" s="26">
        <f t="shared" si="304"/>
        <v>0</v>
      </c>
      <c r="AO174" s="67">
        <f t="shared" si="304"/>
        <v>0</v>
      </c>
      <c r="AP174" s="67">
        <f t="shared" si="304"/>
        <v>0</v>
      </c>
      <c r="AQ174" s="67">
        <f t="shared" si="304"/>
        <v>0</v>
      </c>
      <c r="AR174" s="26">
        <f t="shared" si="304"/>
        <v>0</v>
      </c>
      <c r="AS174" s="26">
        <f t="shared" si="304"/>
        <v>0</v>
      </c>
      <c r="AT174" s="26">
        <f t="shared" si="304"/>
        <v>0</v>
      </c>
      <c r="AU174" s="26">
        <f t="shared" si="304"/>
        <v>0</v>
      </c>
      <c r="AV174" s="26">
        <f t="shared" si="304"/>
        <v>0</v>
      </c>
      <c r="AW174" s="26">
        <f t="shared" si="304"/>
        <v>11577923.93</v>
      </c>
      <c r="AX174" s="14" t="s">
        <v>147</v>
      </c>
      <c r="BA174" s="41"/>
    </row>
    <row r="175" spans="1:53" s="5" customFormat="1">
      <c r="A175" s="116" t="s">
        <v>260</v>
      </c>
      <c r="B175" s="138" t="s">
        <v>26</v>
      </c>
      <c r="C175" s="129">
        <v>66</v>
      </c>
      <c r="D175" s="7" t="s">
        <v>82</v>
      </c>
      <c r="E175" s="7"/>
      <c r="F175" s="8"/>
      <c r="G175" s="8">
        <v>328782</v>
      </c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>
        <f t="shared" ref="V175:V176" si="305">O175+U175</f>
        <v>0</v>
      </c>
      <c r="W175" s="9"/>
      <c r="X175" s="9"/>
      <c r="Y175" s="9"/>
      <c r="Z175" s="9"/>
      <c r="AA175" s="9"/>
      <c r="AB175" s="9"/>
      <c r="AC175" s="9"/>
      <c r="AD175" s="66"/>
      <c r="AE175" s="9"/>
      <c r="AF175" s="9">
        <f t="shared" si="291"/>
        <v>0</v>
      </c>
      <c r="AG175" s="9"/>
      <c r="AH175" s="9"/>
      <c r="AI175" s="9"/>
      <c r="AJ175" s="9"/>
      <c r="AK175" s="9"/>
      <c r="AL175" s="9"/>
      <c r="AM175" s="9"/>
      <c r="AN175" s="9"/>
      <c r="AO175" s="66">
        <f t="shared" si="237"/>
        <v>0</v>
      </c>
      <c r="AP175" s="66">
        <f t="shared" si="238"/>
        <v>0</v>
      </c>
      <c r="AQ175" s="66">
        <f t="shared" si="239"/>
        <v>0</v>
      </c>
      <c r="AR175" s="9"/>
      <c r="AS175" s="9"/>
      <c r="AT175" s="9"/>
      <c r="AU175" s="9"/>
      <c r="AV175" s="9"/>
      <c r="AW175" s="9">
        <f t="shared" si="240"/>
        <v>0</v>
      </c>
      <c r="AX175" s="10" t="s">
        <v>147</v>
      </c>
    </row>
    <row r="176" spans="1:53" s="23" customFormat="1">
      <c r="A176" s="141"/>
      <c r="B176" s="139"/>
      <c r="C176" s="156"/>
      <c r="D176" s="36" t="s">
        <v>82</v>
      </c>
      <c r="E176" s="7"/>
      <c r="F176" s="8"/>
      <c r="G176" s="8">
        <v>328782</v>
      </c>
      <c r="H176" s="40"/>
      <c r="I176" s="40"/>
      <c r="J176" s="40"/>
      <c r="K176" s="40"/>
      <c r="L176" s="40"/>
      <c r="M176" s="9"/>
      <c r="N176" s="9"/>
      <c r="O176" s="9"/>
      <c r="P176" s="9"/>
      <c r="Q176" s="9"/>
      <c r="R176" s="9"/>
      <c r="S176" s="9"/>
      <c r="T176" s="40"/>
      <c r="U176" s="9"/>
      <c r="V176" s="9">
        <f t="shared" si="305"/>
        <v>0</v>
      </c>
      <c r="W176" s="9"/>
      <c r="X176" s="9"/>
      <c r="Y176" s="9"/>
      <c r="Z176" s="9"/>
      <c r="AA176" s="9"/>
      <c r="AB176" s="9"/>
      <c r="AC176" s="9"/>
      <c r="AD176" s="70"/>
      <c r="AE176" s="40"/>
      <c r="AF176" s="40">
        <f t="shared" si="291"/>
        <v>0</v>
      </c>
      <c r="AG176" s="40"/>
      <c r="AH176" s="40"/>
      <c r="AI176" s="40"/>
      <c r="AJ176" s="40"/>
      <c r="AK176" s="40"/>
      <c r="AL176" s="40"/>
      <c r="AM176" s="40"/>
      <c r="AN176" s="40"/>
      <c r="AO176" s="70">
        <f t="shared" si="237"/>
        <v>0</v>
      </c>
      <c r="AP176" s="70">
        <f t="shared" si="238"/>
        <v>0</v>
      </c>
      <c r="AQ176" s="70">
        <f t="shared" si="239"/>
        <v>0</v>
      </c>
      <c r="AR176" s="40"/>
      <c r="AS176" s="40"/>
      <c r="AT176" s="40"/>
      <c r="AU176" s="40"/>
      <c r="AV176" s="40"/>
      <c r="AW176" s="9">
        <f t="shared" si="240"/>
        <v>0</v>
      </c>
      <c r="AX176" s="10" t="s">
        <v>147</v>
      </c>
    </row>
    <row r="177" spans="1:53" s="5" customFormat="1" ht="15" customHeight="1">
      <c r="A177" s="141"/>
      <c r="B177" s="139"/>
      <c r="C177" s="156"/>
      <c r="D177" s="7" t="s">
        <v>21</v>
      </c>
      <c r="E177" s="7"/>
      <c r="F177" s="7" t="s">
        <v>19</v>
      </c>
      <c r="G177" s="8">
        <v>328782</v>
      </c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>
        <f t="shared" ref="V177" si="306">V181-V175-V176</f>
        <v>0</v>
      </c>
      <c r="W177" s="9">
        <f>W181-W175-W176</f>
        <v>208000</v>
      </c>
      <c r="X177" s="9">
        <f t="shared" ref="X177:Z177" si="307">X181-X175-X176</f>
        <v>216000</v>
      </c>
      <c r="Y177" s="9">
        <f t="shared" si="307"/>
        <v>821000</v>
      </c>
      <c r="Z177" s="9">
        <f t="shared" si="307"/>
        <v>1165000</v>
      </c>
      <c r="AA177" s="9"/>
      <c r="AB177" s="9"/>
      <c r="AC177" s="9"/>
      <c r="AD177" s="66">
        <f t="shared" ref="AD177" si="308">SUM(W177:Z177)</f>
        <v>2410000</v>
      </c>
      <c r="AE177" s="9">
        <v>324526.12</v>
      </c>
      <c r="AF177" s="9">
        <f>V177+AE177</f>
        <v>324526.12</v>
      </c>
      <c r="AG177" s="9">
        <f>AG181</f>
        <v>1007000</v>
      </c>
      <c r="AH177" s="9">
        <f t="shared" ref="AH177:AN177" si="309">AH181</f>
        <v>0</v>
      </c>
      <c r="AI177" s="9">
        <f t="shared" si="309"/>
        <v>1858000</v>
      </c>
      <c r="AJ177" s="9">
        <f t="shared" si="309"/>
        <v>0</v>
      </c>
      <c r="AK177" s="9">
        <f t="shared" si="309"/>
        <v>880000</v>
      </c>
      <c r="AL177" s="9">
        <f t="shared" si="309"/>
        <v>0</v>
      </c>
      <c r="AM177" s="9">
        <f t="shared" si="309"/>
        <v>518000.00000000006</v>
      </c>
      <c r="AN177" s="9">
        <f t="shared" si="309"/>
        <v>0</v>
      </c>
      <c r="AO177" s="66">
        <f t="shared" si="237"/>
        <v>4263000</v>
      </c>
      <c r="AP177" s="66">
        <f t="shared" si="238"/>
        <v>0</v>
      </c>
      <c r="AQ177" s="66">
        <f t="shared" si="239"/>
        <v>4263000</v>
      </c>
      <c r="AR177" s="9">
        <f t="shared" ref="AR177:AW177" si="310">AR181</f>
        <v>339082.86340000003</v>
      </c>
      <c r="AS177" s="9">
        <f t="shared" si="310"/>
        <v>0</v>
      </c>
      <c r="AT177" s="9">
        <f t="shared" si="310"/>
        <v>0</v>
      </c>
      <c r="AU177" s="9">
        <f t="shared" si="310"/>
        <v>0</v>
      </c>
      <c r="AV177" s="9">
        <f t="shared" si="310"/>
        <v>0</v>
      </c>
      <c r="AW177" s="9">
        <f t="shared" si="310"/>
        <v>4926608.9834000003</v>
      </c>
      <c r="AX177" s="10" t="s">
        <v>147</v>
      </c>
    </row>
    <row r="178" spans="1:53" s="5" customFormat="1">
      <c r="A178" s="141"/>
      <c r="B178" s="139"/>
      <c r="C178" s="156"/>
      <c r="D178" s="7" t="s">
        <v>82</v>
      </c>
      <c r="E178" s="7"/>
      <c r="F178" s="8" t="s">
        <v>34</v>
      </c>
      <c r="G178" s="8">
        <v>328782</v>
      </c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>
        <f t="shared" ref="V178:AN178" si="311">SUM(V175:V177)</f>
        <v>0</v>
      </c>
      <c r="W178" s="9">
        <f t="shared" si="311"/>
        <v>208000</v>
      </c>
      <c r="X178" s="9">
        <f t="shared" si="311"/>
        <v>216000</v>
      </c>
      <c r="Y178" s="9">
        <f t="shared" si="311"/>
        <v>821000</v>
      </c>
      <c r="Z178" s="9">
        <f t="shared" si="311"/>
        <v>1165000</v>
      </c>
      <c r="AA178" s="9"/>
      <c r="AB178" s="9"/>
      <c r="AC178" s="9"/>
      <c r="AD178" s="66">
        <f t="shared" si="311"/>
        <v>2410000</v>
      </c>
      <c r="AE178" s="9">
        <f t="shared" si="311"/>
        <v>324526.12</v>
      </c>
      <c r="AF178" s="9">
        <f t="shared" si="311"/>
        <v>324526.12</v>
      </c>
      <c r="AG178" s="9">
        <f t="shared" si="311"/>
        <v>1007000</v>
      </c>
      <c r="AH178" s="9">
        <f t="shared" si="311"/>
        <v>0</v>
      </c>
      <c r="AI178" s="9">
        <f t="shared" si="311"/>
        <v>1858000</v>
      </c>
      <c r="AJ178" s="9">
        <f t="shared" si="311"/>
        <v>0</v>
      </c>
      <c r="AK178" s="9">
        <f t="shared" si="311"/>
        <v>880000</v>
      </c>
      <c r="AL178" s="9">
        <f t="shared" si="311"/>
        <v>0</v>
      </c>
      <c r="AM178" s="9">
        <f t="shared" si="311"/>
        <v>518000.00000000006</v>
      </c>
      <c r="AN178" s="9">
        <f t="shared" si="311"/>
        <v>0</v>
      </c>
      <c r="AO178" s="66">
        <f t="shared" si="237"/>
        <v>4263000</v>
      </c>
      <c r="AP178" s="66">
        <f t="shared" si="238"/>
        <v>0</v>
      </c>
      <c r="AQ178" s="66">
        <f t="shared" si="239"/>
        <v>4263000</v>
      </c>
      <c r="AR178" s="9">
        <f t="shared" ref="AR178:AW178" si="312">SUM(AR175:AR177)</f>
        <v>339082.86340000003</v>
      </c>
      <c r="AS178" s="9">
        <f t="shared" si="312"/>
        <v>0</v>
      </c>
      <c r="AT178" s="9">
        <f t="shared" si="312"/>
        <v>0</v>
      </c>
      <c r="AU178" s="9">
        <f t="shared" si="312"/>
        <v>0</v>
      </c>
      <c r="AV178" s="9">
        <f t="shared" si="312"/>
        <v>0</v>
      </c>
      <c r="AW178" s="9">
        <f t="shared" si="312"/>
        <v>4926608.9834000003</v>
      </c>
      <c r="AX178" s="10" t="s">
        <v>147</v>
      </c>
    </row>
    <row r="179" spans="1:53" s="4" customFormat="1" ht="94.5" customHeight="1">
      <c r="A179" s="141"/>
      <c r="B179" s="139"/>
      <c r="C179" s="156"/>
      <c r="D179" s="25" t="s">
        <v>22</v>
      </c>
      <c r="E179" s="25">
        <v>510228</v>
      </c>
      <c r="F179" s="37" t="s">
        <v>80</v>
      </c>
      <c r="G179" s="37">
        <v>328782</v>
      </c>
      <c r="H179" s="14"/>
      <c r="I179" s="14"/>
      <c r="J179" s="14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>
        <f t="shared" ref="V179:V180" si="313">O179+U179</f>
        <v>0</v>
      </c>
      <c r="W179" s="26">
        <f>W402</f>
        <v>0</v>
      </c>
      <c r="X179" s="26">
        <f t="shared" ref="X179:Z179" si="314">X402</f>
        <v>96000</v>
      </c>
      <c r="Y179" s="26">
        <f t="shared" si="314"/>
        <v>0</v>
      </c>
      <c r="Z179" s="26">
        <f t="shared" si="314"/>
        <v>200000</v>
      </c>
      <c r="AA179" s="26"/>
      <c r="AB179" s="26"/>
      <c r="AC179" s="26"/>
      <c r="AD179" s="67">
        <f t="shared" ref="AD179:AD180" si="315">SUM(W179:Z179)</f>
        <v>296000</v>
      </c>
      <c r="AE179" s="26"/>
      <c r="AF179" s="26">
        <f t="shared" si="291"/>
        <v>0</v>
      </c>
      <c r="AG179" s="26">
        <f>24202008.07*2%+959.838599999959</f>
        <v>485000</v>
      </c>
      <c r="AH179" s="26"/>
      <c r="AI179" s="26">
        <f>665079.1*2%-959.838599999959+658.256599999959</f>
        <v>13000</v>
      </c>
      <c r="AJ179" s="26"/>
      <c r="AK179" s="26"/>
      <c r="AL179" s="26"/>
      <c r="AM179" s="26"/>
      <c r="AN179" s="26"/>
      <c r="AO179" s="67">
        <f t="shared" si="237"/>
        <v>498000</v>
      </c>
      <c r="AP179" s="67">
        <f t="shared" si="238"/>
        <v>0</v>
      </c>
      <c r="AQ179" s="67">
        <f t="shared" si="239"/>
        <v>498000</v>
      </c>
      <c r="AR179" s="26">
        <v>-658.25659999995901</v>
      </c>
      <c r="AS179" s="26"/>
      <c r="AT179" s="26"/>
      <c r="AU179" s="26"/>
      <c r="AV179" s="26"/>
      <c r="AW179" s="26">
        <f t="shared" si="240"/>
        <v>497341.74340000004</v>
      </c>
      <c r="AX179" s="14" t="s">
        <v>147</v>
      </c>
      <c r="AY179" s="76">
        <v>497341.74</v>
      </c>
      <c r="AZ179" s="76">
        <f>AY179-AW179</f>
        <v>-3.4000000450760126E-3</v>
      </c>
      <c r="BA179" s="41"/>
    </row>
    <row r="180" spans="1:53" s="4" customFormat="1" ht="109.5" customHeight="1">
      <c r="A180" s="141"/>
      <c r="B180" s="139"/>
      <c r="C180" s="156"/>
      <c r="D180" s="25" t="s">
        <v>22</v>
      </c>
      <c r="E180" s="25">
        <v>510228</v>
      </c>
      <c r="F180" s="37" t="s">
        <v>81</v>
      </c>
      <c r="G180" s="37">
        <v>328782</v>
      </c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>
        <f t="shared" si="313"/>
        <v>0</v>
      </c>
      <c r="W180" s="26">
        <f>W405</f>
        <v>208000</v>
      </c>
      <c r="X180" s="26">
        <f t="shared" ref="X180:Z180" si="316">X405</f>
        <v>120000</v>
      </c>
      <c r="Y180" s="26">
        <f t="shared" si="316"/>
        <v>821000</v>
      </c>
      <c r="Z180" s="26">
        <f t="shared" si="316"/>
        <v>965000</v>
      </c>
      <c r="AA180" s="26"/>
      <c r="AB180" s="26"/>
      <c r="AC180" s="26"/>
      <c r="AD180" s="67">
        <f t="shared" si="315"/>
        <v>2114000</v>
      </c>
      <c r="AE180" s="26">
        <v>324526.12</v>
      </c>
      <c r="AF180" s="26">
        <f t="shared" si="291"/>
        <v>324526.12</v>
      </c>
      <c r="AG180" s="26">
        <f>521729.93+270.07</f>
        <v>522000</v>
      </c>
      <c r="AH180" s="26"/>
      <c r="AI180" s="26">
        <f>790890.47+1053763.83-270.07+615.77</f>
        <v>1845000</v>
      </c>
      <c r="AJ180" s="26"/>
      <c r="AK180" s="26">
        <f>879646.55-615.77+969.22</f>
        <v>880000</v>
      </c>
      <c r="AL180" s="26"/>
      <c r="AM180" s="26">
        <f>518358.34-969.22+610.88</f>
        <v>518000.00000000006</v>
      </c>
      <c r="AN180" s="26"/>
      <c r="AO180" s="67">
        <f t="shared" si="237"/>
        <v>3765000</v>
      </c>
      <c r="AP180" s="67">
        <f t="shared" si="238"/>
        <v>0</v>
      </c>
      <c r="AQ180" s="67">
        <f t="shared" si="239"/>
        <v>3765000</v>
      </c>
      <c r="AR180" s="26">
        <f>340352-610.88</f>
        <v>339741.12</v>
      </c>
      <c r="AS180" s="26"/>
      <c r="AT180" s="26"/>
      <c r="AU180" s="26"/>
      <c r="AV180" s="26"/>
      <c r="AW180" s="26">
        <f t="shared" si="240"/>
        <v>4429267.24</v>
      </c>
      <c r="AX180" s="14" t="s">
        <v>147</v>
      </c>
      <c r="AY180" s="76">
        <v>4429267.24</v>
      </c>
      <c r="AZ180" s="76">
        <f>AY180-AW180</f>
        <v>0</v>
      </c>
      <c r="BA180" s="41"/>
    </row>
    <row r="181" spans="1:53" s="4" customFormat="1">
      <c r="A181" s="142"/>
      <c r="B181" s="140"/>
      <c r="C181" s="157"/>
      <c r="D181" s="25" t="s">
        <v>22</v>
      </c>
      <c r="E181" s="25">
        <v>510228</v>
      </c>
      <c r="F181" s="37" t="s">
        <v>29</v>
      </c>
      <c r="G181" s="37">
        <v>328782</v>
      </c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>
        <f t="shared" ref="V181:AW181" si="317">SUM(V179:V180)</f>
        <v>0</v>
      </c>
      <c r="W181" s="26">
        <f t="shared" si="317"/>
        <v>208000</v>
      </c>
      <c r="X181" s="26">
        <f t="shared" si="317"/>
        <v>216000</v>
      </c>
      <c r="Y181" s="26">
        <f t="shared" si="317"/>
        <v>821000</v>
      </c>
      <c r="Z181" s="26">
        <f t="shared" si="317"/>
        <v>1165000</v>
      </c>
      <c r="AA181" s="26"/>
      <c r="AB181" s="26"/>
      <c r="AC181" s="26"/>
      <c r="AD181" s="67">
        <f t="shared" si="317"/>
        <v>2410000</v>
      </c>
      <c r="AE181" s="26">
        <f t="shared" si="317"/>
        <v>324526.12</v>
      </c>
      <c r="AF181" s="26">
        <f t="shared" si="317"/>
        <v>324526.12</v>
      </c>
      <c r="AG181" s="26">
        <f t="shared" si="317"/>
        <v>1007000</v>
      </c>
      <c r="AH181" s="26">
        <f t="shared" si="317"/>
        <v>0</v>
      </c>
      <c r="AI181" s="26">
        <f t="shared" si="317"/>
        <v>1858000</v>
      </c>
      <c r="AJ181" s="26">
        <f t="shared" si="317"/>
        <v>0</v>
      </c>
      <c r="AK181" s="26">
        <f t="shared" si="317"/>
        <v>880000</v>
      </c>
      <c r="AL181" s="26">
        <f t="shared" si="317"/>
        <v>0</v>
      </c>
      <c r="AM181" s="26">
        <f t="shared" si="317"/>
        <v>518000.00000000006</v>
      </c>
      <c r="AN181" s="26">
        <f t="shared" si="317"/>
        <v>0</v>
      </c>
      <c r="AO181" s="67">
        <f t="shared" si="317"/>
        <v>4263000</v>
      </c>
      <c r="AP181" s="67">
        <f t="shared" si="317"/>
        <v>0</v>
      </c>
      <c r="AQ181" s="67">
        <f t="shared" si="317"/>
        <v>4263000</v>
      </c>
      <c r="AR181" s="26">
        <f t="shared" si="317"/>
        <v>339082.86340000003</v>
      </c>
      <c r="AS181" s="26">
        <f t="shared" si="317"/>
        <v>0</v>
      </c>
      <c r="AT181" s="26">
        <f t="shared" si="317"/>
        <v>0</v>
      </c>
      <c r="AU181" s="26">
        <f t="shared" si="317"/>
        <v>0</v>
      </c>
      <c r="AV181" s="26">
        <f t="shared" si="317"/>
        <v>0</v>
      </c>
      <c r="AW181" s="26">
        <f t="shared" si="317"/>
        <v>4926608.9834000003</v>
      </c>
      <c r="AX181" s="14" t="s">
        <v>147</v>
      </c>
      <c r="BA181" s="41"/>
    </row>
    <row r="182" spans="1:53" s="5" customFormat="1">
      <c r="A182" s="116" t="s">
        <v>261</v>
      </c>
      <c r="B182" s="138" t="s">
        <v>26</v>
      </c>
      <c r="C182" s="129">
        <v>66</v>
      </c>
      <c r="D182" s="7" t="s">
        <v>82</v>
      </c>
      <c r="E182" s="7"/>
      <c r="F182" s="8"/>
      <c r="G182" s="8">
        <v>328782</v>
      </c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>
        <f t="shared" ref="V182:V183" si="318">O182+U182</f>
        <v>0</v>
      </c>
      <c r="W182" s="9"/>
      <c r="X182" s="9"/>
      <c r="Y182" s="9"/>
      <c r="Z182" s="9"/>
      <c r="AA182" s="9"/>
      <c r="AB182" s="9"/>
      <c r="AC182" s="9"/>
      <c r="AD182" s="66"/>
      <c r="AE182" s="9"/>
      <c r="AF182" s="9">
        <f t="shared" si="291"/>
        <v>0</v>
      </c>
      <c r="AG182" s="9"/>
      <c r="AH182" s="9"/>
      <c r="AI182" s="9"/>
      <c r="AJ182" s="9"/>
      <c r="AK182" s="9"/>
      <c r="AL182" s="9"/>
      <c r="AM182" s="9"/>
      <c r="AN182" s="9"/>
      <c r="AO182" s="66">
        <f t="shared" si="237"/>
        <v>0</v>
      </c>
      <c r="AP182" s="66">
        <f t="shared" si="238"/>
        <v>0</v>
      </c>
      <c r="AQ182" s="66">
        <f t="shared" si="239"/>
        <v>0</v>
      </c>
      <c r="AR182" s="9"/>
      <c r="AS182" s="9"/>
      <c r="AT182" s="9"/>
      <c r="AU182" s="9"/>
      <c r="AV182" s="9"/>
      <c r="AW182" s="9">
        <f t="shared" si="240"/>
        <v>0</v>
      </c>
      <c r="AX182" s="10" t="s">
        <v>147</v>
      </c>
    </row>
    <row r="183" spans="1:53" s="23" customFormat="1">
      <c r="A183" s="127"/>
      <c r="B183" s="146"/>
      <c r="C183" s="114"/>
      <c r="D183" s="36" t="s">
        <v>82</v>
      </c>
      <c r="E183" s="7"/>
      <c r="F183" s="8"/>
      <c r="G183" s="8">
        <v>328782</v>
      </c>
      <c r="H183" s="40"/>
      <c r="I183" s="40"/>
      <c r="J183" s="40"/>
      <c r="K183" s="40"/>
      <c r="L183" s="40"/>
      <c r="M183" s="9"/>
      <c r="N183" s="9"/>
      <c r="O183" s="9"/>
      <c r="P183" s="9"/>
      <c r="Q183" s="9"/>
      <c r="R183" s="9"/>
      <c r="S183" s="9"/>
      <c r="T183" s="40"/>
      <c r="U183" s="9"/>
      <c r="V183" s="9">
        <f t="shared" si="318"/>
        <v>0</v>
      </c>
      <c r="W183" s="9"/>
      <c r="X183" s="9"/>
      <c r="Y183" s="9"/>
      <c r="Z183" s="9"/>
      <c r="AA183" s="9"/>
      <c r="AB183" s="9"/>
      <c r="AC183" s="9"/>
      <c r="AD183" s="70"/>
      <c r="AE183" s="40"/>
      <c r="AF183" s="40">
        <f t="shared" si="291"/>
        <v>0</v>
      </c>
      <c r="AG183" s="40"/>
      <c r="AH183" s="40"/>
      <c r="AI183" s="40"/>
      <c r="AJ183" s="40"/>
      <c r="AK183" s="40"/>
      <c r="AL183" s="40"/>
      <c r="AM183" s="40"/>
      <c r="AN183" s="40"/>
      <c r="AO183" s="70">
        <f t="shared" si="237"/>
        <v>0</v>
      </c>
      <c r="AP183" s="70">
        <f t="shared" si="238"/>
        <v>0</v>
      </c>
      <c r="AQ183" s="70">
        <f t="shared" si="239"/>
        <v>0</v>
      </c>
      <c r="AR183" s="40"/>
      <c r="AS183" s="40"/>
      <c r="AT183" s="40"/>
      <c r="AU183" s="40"/>
      <c r="AV183" s="40"/>
      <c r="AW183" s="9">
        <f t="shared" si="240"/>
        <v>0</v>
      </c>
      <c r="AX183" s="10" t="s">
        <v>147</v>
      </c>
    </row>
    <row r="184" spans="1:53" s="5" customFormat="1" ht="15" customHeight="1">
      <c r="A184" s="127"/>
      <c r="B184" s="146"/>
      <c r="C184" s="114"/>
      <c r="D184" s="7" t="s">
        <v>21</v>
      </c>
      <c r="E184" s="7"/>
      <c r="F184" s="7" t="s">
        <v>19</v>
      </c>
      <c r="G184" s="8">
        <v>328782</v>
      </c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>
        <f t="shared" ref="V184" si="319">V188-V182-V183</f>
        <v>0</v>
      </c>
      <c r="W184" s="9">
        <f>W188-W182-W183</f>
        <v>126000</v>
      </c>
      <c r="X184" s="9">
        <f t="shared" ref="X184" si="320">X188-X182-X183</f>
        <v>142000</v>
      </c>
      <c r="Y184" s="9">
        <f t="shared" ref="Y184" si="321">Y188-Y182-Y183</f>
        <v>160000</v>
      </c>
      <c r="Z184" s="9">
        <f t="shared" ref="Z184" si="322">Z188-Z182-Z183</f>
        <v>664000</v>
      </c>
      <c r="AA184" s="9"/>
      <c r="AB184" s="9"/>
      <c r="AC184" s="9"/>
      <c r="AD184" s="66">
        <f t="shared" ref="AD184" si="323">SUM(W184:Z184)</f>
        <v>1092000</v>
      </c>
      <c r="AE184" s="9">
        <v>368140</v>
      </c>
      <c r="AF184" s="9">
        <f t="shared" si="291"/>
        <v>368140</v>
      </c>
      <c r="AG184" s="9">
        <f>AG188</f>
        <v>114000</v>
      </c>
      <c r="AH184" s="9">
        <f t="shared" ref="AH184:AN184" si="324">AH188</f>
        <v>0</v>
      </c>
      <c r="AI184" s="9">
        <f t="shared" si="324"/>
        <v>616000</v>
      </c>
      <c r="AJ184" s="9">
        <f t="shared" si="324"/>
        <v>0</v>
      </c>
      <c r="AK184" s="9">
        <f t="shared" si="324"/>
        <v>0</v>
      </c>
      <c r="AL184" s="9">
        <f t="shared" si="324"/>
        <v>0</v>
      </c>
      <c r="AM184" s="9">
        <f t="shared" si="324"/>
        <v>0</v>
      </c>
      <c r="AN184" s="9">
        <f t="shared" si="324"/>
        <v>0</v>
      </c>
      <c r="AO184" s="66">
        <f t="shared" si="237"/>
        <v>730000</v>
      </c>
      <c r="AP184" s="66">
        <f t="shared" si="238"/>
        <v>0</v>
      </c>
      <c r="AQ184" s="66">
        <f t="shared" si="239"/>
        <v>730000</v>
      </c>
      <c r="AR184" s="9">
        <f t="shared" ref="AR184" si="325">AR188</f>
        <v>-1410.315600000016</v>
      </c>
      <c r="AS184" s="9"/>
      <c r="AT184" s="9"/>
      <c r="AU184" s="9"/>
      <c r="AV184" s="9"/>
      <c r="AW184" s="9">
        <f t="shared" si="240"/>
        <v>1096729.6843999999</v>
      </c>
      <c r="AX184" s="10" t="s">
        <v>147</v>
      </c>
    </row>
    <row r="185" spans="1:53" s="5" customFormat="1">
      <c r="A185" s="127"/>
      <c r="B185" s="146"/>
      <c r="C185" s="114"/>
      <c r="D185" s="7" t="s">
        <v>82</v>
      </c>
      <c r="E185" s="7"/>
      <c r="F185" s="8" t="s">
        <v>34</v>
      </c>
      <c r="G185" s="8">
        <v>328782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>
        <f t="shared" ref="V185:AW185" si="326">SUM(V182:V184)</f>
        <v>0</v>
      </c>
      <c r="W185" s="9">
        <f t="shared" si="326"/>
        <v>126000</v>
      </c>
      <c r="X185" s="9">
        <f t="shared" si="326"/>
        <v>142000</v>
      </c>
      <c r="Y185" s="9">
        <f t="shared" si="326"/>
        <v>160000</v>
      </c>
      <c r="Z185" s="9">
        <f t="shared" si="326"/>
        <v>664000</v>
      </c>
      <c r="AA185" s="9"/>
      <c r="AB185" s="9"/>
      <c r="AC185" s="9"/>
      <c r="AD185" s="66">
        <f t="shared" si="326"/>
        <v>1092000</v>
      </c>
      <c r="AE185" s="9">
        <f t="shared" si="326"/>
        <v>368140</v>
      </c>
      <c r="AF185" s="9">
        <f t="shared" si="326"/>
        <v>368140</v>
      </c>
      <c r="AG185" s="9">
        <f t="shared" si="326"/>
        <v>114000</v>
      </c>
      <c r="AH185" s="9">
        <f t="shared" si="326"/>
        <v>0</v>
      </c>
      <c r="AI185" s="9">
        <f t="shared" si="326"/>
        <v>616000</v>
      </c>
      <c r="AJ185" s="9">
        <f t="shared" si="326"/>
        <v>0</v>
      </c>
      <c r="AK185" s="9">
        <f t="shared" si="326"/>
        <v>0</v>
      </c>
      <c r="AL185" s="9">
        <f t="shared" si="326"/>
        <v>0</v>
      </c>
      <c r="AM185" s="9">
        <f t="shared" si="326"/>
        <v>0</v>
      </c>
      <c r="AN185" s="9">
        <f t="shared" si="326"/>
        <v>0</v>
      </c>
      <c r="AO185" s="66">
        <f t="shared" si="326"/>
        <v>730000</v>
      </c>
      <c r="AP185" s="66">
        <f t="shared" si="326"/>
        <v>0</v>
      </c>
      <c r="AQ185" s="66">
        <f t="shared" si="326"/>
        <v>730000</v>
      </c>
      <c r="AR185" s="9">
        <f t="shared" si="326"/>
        <v>-1410.315600000016</v>
      </c>
      <c r="AS185" s="9">
        <f t="shared" si="326"/>
        <v>0</v>
      </c>
      <c r="AT185" s="9">
        <f t="shared" si="326"/>
        <v>0</v>
      </c>
      <c r="AU185" s="9">
        <f t="shared" si="326"/>
        <v>0</v>
      </c>
      <c r="AV185" s="9">
        <f t="shared" si="326"/>
        <v>0</v>
      </c>
      <c r="AW185" s="9">
        <f t="shared" si="326"/>
        <v>1096729.6843999999</v>
      </c>
      <c r="AX185" s="10" t="s">
        <v>147</v>
      </c>
    </row>
    <row r="186" spans="1:53" s="4" customFormat="1" ht="94.5" customHeight="1">
      <c r="A186" s="127"/>
      <c r="B186" s="146"/>
      <c r="C186" s="114"/>
      <c r="D186" s="25" t="s">
        <v>22</v>
      </c>
      <c r="E186" s="25">
        <v>510228</v>
      </c>
      <c r="F186" s="37" t="s">
        <v>80</v>
      </c>
      <c r="G186" s="37">
        <v>328782</v>
      </c>
      <c r="H186" s="14"/>
      <c r="I186" s="14"/>
      <c r="J186" s="14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>
        <f t="shared" ref="V186:V187" si="327">O186+U186</f>
        <v>0</v>
      </c>
      <c r="W186" s="26">
        <f>W414</f>
        <v>0</v>
      </c>
      <c r="X186" s="26">
        <f t="shared" ref="X186:Z186" si="328">X414</f>
        <v>0</v>
      </c>
      <c r="Y186" s="26">
        <f t="shared" si="328"/>
        <v>0</v>
      </c>
      <c r="Z186" s="26">
        <f t="shared" si="328"/>
        <v>199000</v>
      </c>
      <c r="AA186" s="26"/>
      <c r="AB186" s="26"/>
      <c r="AC186" s="26"/>
      <c r="AD186" s="67">
        <f t="shared" ref="AD186:AD187" si="329">SUM(W186:Z186)</f>
        <v>199000</v>
      </c>
      <c r="AE186" s="26">
        <f>96000.24-36495.92+0.66</f>
        <v>59504.98000000001</v>
      </c>
      <c r="AF186" s="26">
        <f t="shared" si="291"/>
        <v>59504.98000000001</v>
      </c>
      <c r="AG186" s="26">
        <f>1824796.16*2%+504.076800000003</f>
        <v>37000</v>
      </c>
      <c r="AH186" s="26"/>
      <c r="AI186" s="26">
        <f>5140388.06*2%-504.076800000003+696.315600000016</f>
        <v>103000</v>
      </c>
      <c r="AJ186" s="26"/>
      <c r="AK186" s="26"/>
      <c r="AL186" s="26"/>
      <c r="AM186" s="26"/>
      <c r="AN186" s="26"/>
      <c r="AO186" s="67">
        <f t="shared" ref="AO186:AO259" si="330">AG186+AI186+AK186+AM186</f>
        <v>140000</v>
      </c>
      <c r="AP186" s="67">
        <f t="shared" ref="AP186:AP259" si="331">AH186+AJ186+AL186+AN186</f>
        <v>0</v>
      </c>
      <c r="AQ186" s="67">
        <f t="shared" ref="AQ186:AQ259" si="332">AO186+AP186</f>
        <v>140000</v>
      </c>
      <c r="AR186" s="26">
        <v>-696.31560000001605</v>
      </c>
      <c r="AS186" s="26"/>
      <c r="AT186" s="26"/>
      <c r="AU186" s="26"/>
      <c r="AV186" s="26"/>
      <c r="AW186" s="26">
        <f t="shared" ref="AW186:AW259" si="333">AF186+AQ186+AR186+AS186+AT186+AU186+AV186</f>
        <v>198808.66440000001</v>
      </c>
      <c r="AX186" s="14" t="s">
        <v>147</v>
      </c>
      <c r="AY186" s="41">
        <v>198808</v>
      </c>
      <c r="AZ186" s="41">
        <f>AW186-AY186</f>
        <v>0.66440000000875443</v>
      </c>
      <c r="BA186" s="41"/>
    </row>
    <row r="187" spans="1:53" s="4" customFormat="1" ht="109.5" customHeight="1">
      <c r="A187" s="127"/>
      <c r="B187" s="146"/>
      <c r="C187" s="114"/>
      <c r="D187" s="25" t="s">
        <v>22</v>
      </c>
      <c r="E187" s="25">
        <v>510228</v>
      </c>
      <c r="F187" s="37" t="s">
        <v>81</v>
      </c>
      <c r="G187" s="37">
        <v>328782</v>
      </c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>
        <f t="shared" si="327"/>
        <v>0</v>
      </c>
      <c r="W187" s="26">
        <f>W417</f>
        <v>126000</v>
      </c>
      <c r="X187" s="26">
        <f t="shared" ref="X187:Z187" si="334">X417</f>
        <v>142000</v>
      </c>
      <c r="Y187" s="26">
        <f t="shared" si="334"/>
        <v>160000</v>
      </c>
      <c r="Z187" s="26">
        <f t="shared" si="334"/>
        <v>465000</v>
      </c>
      <c r="AA187" s="26"/>
      <c r="AB187" s="26"/>
      <c r="AC187" s="26"/>
      <c r="AD187" s="67">
        <f t="shared" si="329"/>
        <v>893000</v>
      </c>
      <c r="AE187" s="26">
        <f>308634+0.66</f>
        <v>308634.65999999997</v>
      </c>
      <c r="AF187" s="26">
        <f t="shared" si="291"/>
        <v>308634.65999999997</v>
      </c>
      <c r="AG187" s="26">
        <f>76538+462</f>
        <v>77000</v>
      </c>
      <c r="AH187" s="26"/>
      <c r="AI187" s="26">
        <v>513000</v>
      </c>
      <c r="AJ187" s="26"/>
      <c r="AK187" s="26"/>
      <c r="AL187" s="26"/>
      <c r="AM187" s="26"/>
      <c r="AN187" s="26"/>
      <c r="AO187" s="67">
        <f t="shared" si="330"/>
        <v>590000</v>
      </c>
      <c r="AP187" s="67">
        <f t="shared" si="331"/>
        <v>0</v>
      </c>
      <c r="AQ187" s="67">
        <f t="shared" si="332"/>
        <v>590000</v>
      </c>
      <c r="AR187" s="26">
        <v>-714</v>
      </c>
      <c r="AS187" s="26"/>
      <c r="AT187" s="26"/>
      <c r="AU187" s="26"/>
      <c r="AV187" s="26"/>
      <c r="AW187" s="26">
        <f t="shared" si="333"/>
        <v>897920.65999999992</v>
      </c>
      <c r="AX187" s="14" t="s">
        <v>147</v>
      </c>
      <c r="AY187" s="76">
        <v>896920.92</v>
      </c>
      <c r="AZ187" s="41">
        <f>AW187-AY187</f>
        <v>999.73999999987427</v>
      </c>
      <c r="BA187" s="41"/>
    </row>
    <row r="188" spans="1:53" s="4" customFormat="1">
      <c r="A188" s="128"/>
      <c r="B188" s="147"/>
      <c r="C188" s="115"/>
      <c r="D188" s="25" t="s">
        <v>22</v>
      </c>
      <c r="E188" s="25">
        <v>510228</v>
      </c>
      <c r="F188" s="37" t="s">
        <v>29</v>
      </c>
      <c r="G188" s="37">
        <v>328782</v>
      </c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>
        <f t="shared" ref="V188:AW188" si="335">SUM(V186:V187)</f>
        <v>0</v>
      </c>
      <c r="W188" s="26">
        <f t="shared" si="335"/>
        <v>126000</v>
      </c>
      <c r="X188" s="26">
        <f t="shared" si="335"/>
        <v>142000</v>
      </c>
      <c r="Y188" s="26">
        <f t="shared" si="335"/>
        <v>160000</v>
      </c>
      <c r="Z188" s="26">
        <f t="shared" si="335"/>
        <v>664000</v>
      </c>
      <c r="AA188" s="26"/>
      <c r="AB188" s="26"/>
      <c r="AC188" s="26"/>
      <c r="AD188" s="67">
        <f t="shared" si="335"/>
        <v>1092000</v>
      </c>
      <c r="AE188" s="26">
        <f t="shared" si="335"/>
        <v>368139.64</v>
      </c>
      <c r="AF188" s="26">
        <f t="shared" si="335"/>
        <v>368139.64</v>
      </c>
      <c r="AG188" s="26">
        <f t="shared" si="335"/>
        <v>114000</v>
      </c>
      <c r="AH188" s="26">
        <f t="shared" si="335"/>
        <v>0</v>
      </c>
      <c r="AI188" s="26">
        <f t="shared" si="335"/>
        <v>616000</v>
      </c>
      <c r="AJ188" s="26">
        <f t="shared" si="335"/>
        <v>0</v>
      </c>
      <c r="AK188" s="26">
        <f t="shared" si="335"/>
        <v>0</v>
      </c>
      <c r="AL188" s="26">
        <f t="shared" si="335"/>
        <v>0</v>
      </c>
      <c r="AM188" s="26">
        <f t="shared" si="335"/>
        <v>0</v>
      </c>
      <c r="AN188" s="26">
        <f t="shared" si="335"/>
        <v>0</v>
      </c>
      <c r="AO188" s="67">
        <f t="shared" si="335"/>
        <v>730000</v>
      </c>
      <c r="AP188" s="67">
        <f t="shared" si="335"/>
        <v>0</v>
      </c>
      <c r="AQ188" s="67">
        <f t="shared" si="335"/>
        <v>730000</v>
      </c>
      <c r="AR188" s="26">
        <f t="shared" si="335"/>
        <v>-1410.315600000016</v>
      </c>
      <c r="AS188" s="26">
        <f t="shared" si="335"/>
        <v>0</v>
      </c>
      <c r="AT188" s="26">
        <f t="shared" si="335"/>
        <v>0</v>
      </c>
      <c r="AU188" s="26">
        <f t="shared" si="335"/>
        <v>0</v>
      </c>
      <c r="AV188" s="26">
        <f t="shared" si="335"/>
        <v>0</v>
      </c>
      <c r="AW188" s="26">
        <f t="shared" si="335"/>
        <v>1096729.3243999998</v>
      </c>
      <c r="AX188" s="14" t="s">
        <v>147</v>
      </c>
      <c r="BA188" s="41"/>
    </row>
    <row r="189" spans="1:53" s="5" customFormat="1">
      <c r="A189" s="116" t="s">
        <v>328</v>
      </c>
      <c r="B189" s="111" t="s">
        <v>27</v>
      </c>
      <c r="C189" s="129">
        <v>66</v>
      </c>
      <c r="D189" s="7" t="s">
        <v>82</v>
      </c>
      <c r="E189" s="7"/>
      <c r="F189" s="8"/>
      <c r="G189" s="8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>
        <f t="shared" ref="V189:V190" si="336">O189+U189</f>
        <v>0</v>
      </c>
      <c r="W189" s="9"/>
      <c r="X189" s="9"/>
      <c r="Y189" s="9"/>
      <c r="Z189" s="9"/>
      <c r="AA189" s="9"/>
      <c r="AB189" s="9"/>
      <c r="AC189" s="9"/>
      <c r="AD189" s="66"/>
      <c r="AE189" s="9"/>
      <c r="AF189" s="9">
        <f t="shared" ref="AF189:AF190" si="337">V189+AE189</f>
        <v>0</v>
      </c>
      <c r="AG189" s="9"/>
      <c r="AH189" s="9"/>
      <c r="AI189" s="9"/>
      <c r="AJ189" s="9"/>
      <c r="AK189" s="9"/>
      <c r="AL189" s="9"/>
      <c r="AM189" s="9"/>
      <c r="AN189" s="9"/>
      <c r="AO189" s="66">
        <f t="shared" ref="AO189:AO191" si="338">AG189+AI189+AK189+AM189</f>
        <v>0</v>
      </c>
      <c r="AP189" s="66">
        <f t="shared" ref="AP189:AP191" si="339">AH189+AJ189+AL189+AN189</f>
        <v>0</v>
      </c>
      <c r="AQ189" s="66">
        <f t="shared" ref="AQ189:AQ191" si="340">AO189+AP189</f>
        <v>0</v>
      </c>
      <c r="AR189" s="9"/>
      <c r="AS189" s="9"/>
      <c r="AT189" s="9"/>
      <c r="AU189" s="9"/>
      <c r="AV189" s="9"/>
      <c r="AW189" s="9">
        <f t="shared" ref="AW189:AW191" si="341">AF189+AQ189+AR189+AS189+AT189+AU189+AV189</f>
        <v>0</v>
      </c>
      <c r="AX189" s="10" t="s">
        <v>147</v>
      </c>
    </row>
    <row r="190" spans="1:53" s="23" customFormat="1">
      <c r="A190" s="127"/>
      <c r="B190" s="112"/>
      <c r="C190" s="114"/>
      <c r="D190" s="36" t="s">
        <v>82</v>
      </c>
      <c r="E190" s="7"/>
      <c r="F190" s="8"/>
      <c r="G190" s="8"/>
      <c r="H190" s="40"/>
      <c r="I190" s="40"/>
      <c r="J190" s="40"/>
      <c r="K190" s="40"/>
      <c r="L190" s="40"/>
      <c r="M190" s="9"/>
      <c r="N190" s="9"/>
      <c r="O190" s="9"/>
      <c r="P190" s="9"/>
      <c r="Q190" s="9"/>
      <c r="R190" s="9"/>
      <c r="S190" s="9"/>
      <c r="T190" s="40"/>
      <c r="U190" s="9"/>
      <c r="V190" s="9">
        <f t="shared" si="336"/>
        <v>0</v>
      </c>
      <c r="W190" s="9"/>
      <c r="X190" s="9"/>
      <c r="Y190" s="9"/>
      <c r="Z190" s="9"/>
      <c r="AA190" s="9"/>
      <c r="AB190" s="9"/>
      <c r="AC190" s="9"/>
      <c r="AD190" s="70"/>
      <c r="AE190" s="40"/>
      <c r="AF190" s="40">
        <f t="shared" si="337"/>
        <v>0</v>
      </c>
      <c r="AG190" s="40"/>
      <c r="AH190" s="40"/>
      <c r="AI190" s="40"/>
      <c r="AJ190" s="40"/>
      <c r="AK190" s="40"/>
      <c r="AL190" s="40"/>
      <c r="AM190" s="40"/>
      <c r="AN190" s="40"/>
      <c r="AO190" s="70">
        <f t="shared" si="338"/>
        <v>0</v>
      </c>
      <c r="AP190" s="70">
        <f t="shared" si="339"/>
        <v>0</v>
      </c>
      <c r="AQ190" s="70">
        <f t="shared" si="340"/>
        <v>0</v>
      </c>
      <c r="AR190" s="40"/>
      <c r="AS190" s="40"/>
      <c r="AT190" s="40"/>
      <c r="AU190" s="40"/>
      <c r="AV190" s="40"/>
      <c r="AW190" s="9">
        <f t="shared" si="341"/>
        <v>0</v>
      </c>
      <c r="AX190" s="10" t="s">
        <v>147</v>
      </c>
    </row>
    <row r="191" spans="1:53" s="5" customFormat="1" ht="15" customHeight="1">
      <c r="A191" s="127"/>
      <c r="B191" s="112"/>
      <c r="C191" s="114"/>
      <c r="D191" s="7" t="s">
        <v>21</v>
      </c>
      <c r="E191" s="7"/>
      <c r="F191" s="7" t="s">
        <v>19</v>
      </c>
      <c r="G191" s="8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>
        <f t="shared" ref="V191" si="342">V195-V189-V190</f>
        <v>0</v>
      </c>
      <c r="W191" s="9">
        <f>W195-W189-W190</f>
        <v>0</v>
      </c>
      <c r="X191" s="9">
        <f t="shared" ref="X191:Z191" si="343">X195-X189-X190</f>
        <v>0</v>
      </c>
      <c r="Y191" s="9">
        <f t="shared" si="343"/>
        <v>0</v>
      </c>
      <c r="Z191" s="9">
        <f t="shared" si="343"/>
        <v>0</v>
      </c>
      <c r="AA191" s="9"/>
      <c r="AB191" s="9"/>
      <c r="AC191" s="9"/>
      <c r="AD191" s="66"/>
      <c r="AE191" s="9"/>
      <c r="AF191" s="9">
        <f>AF195</f>
        <v>267830</v>
      </c>
      <c r="AG191" s="9">
        <f>AG195</f>
        <v>0</v>
      </c>
      <c r="AH191" s="9">
        <f t="shared" ref="AH191:AN191" si="344">AH195</f>
        <v>0</v>
      </c>
      <c r="AI191" s="9">
        <f t="shared" si="344"/>
        <v>0</v>
      </c>
      <c r="AJ191" s="9">
        <f t="shared" si="344"/>
        <v>0</v>
      </c>
      <c r="AK191" s="9">
        <f t="shared" si="344"/>
        <v>272000</v>
      </c>
      <c r="AL191" s="9">
        <f t="shared" si="344"/>
        <v>0</v>
      </c>
      <c r="AM191" s="9">
        <f t="shared" si="344"/>
        <v>0</v>
      </c>
      <c r="AN191" s="9">
        <f t="shared" si="344"/>
        <v>0</v>
      </c>
      <c r="AO191" s="66">
        <f t="shared" si="338"/>
        <v>272000</v>
      </c>
      <c r="AP191" s="66">
        <f t="shared" si="339"/>
        <v>0</v>
      </c>
      <c r="AQ191" s="66">
        <f t="shared" si="340"/>
        <v>272000</v>
      </c>
      <c r="AR191" s="9">
        <f t="shared" ref="AR191:AT191" si="345">AR195</f>
        <v>279999</v>
      </c>
      <c r="AS191" s="9">
        <f t="shared" si="345"/>
        <v>176985</v>
      </c>
      <c r="AT191" s="9">
        <f t="shared" si="345"/>
        <v>2750261</v>
      </c>
      <c r="AU191" s="9"/>
      <c r="AV191" s="9"/>
      <c r="AW191" s="9">
        <f t="shared" si="341"/>
        <v>3747075</v>
      </c>
      <c r="AX191" s="10" t="s">
        <v>147</v>
      </c>
    </row>
    <row r="192" spans="1:53" s="5" customFormat="1">
      <c r="A192" s="127"/>
      <c r="B192" s="112"/>
      <c r="C192" s="114"/>
      <c r="D192" s="7" t="s">
        <v>82</v>
      </c>
      <c r="E192" s="7"/>
      <c r="F192" s="8" t="s">
        <v>34</v>
      </c>
      <c r="G192" s="8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>
        <f t="shared" ref="V192:Z192" si="346">SUM(V189:V191)</f>
        <v>0</v>
      </c>
      <c r="W192" s="9">
        <f t="shared" si="346"/>
        <v>0</v>
      </c>
      <c r="X192" s="9">
        <f t="shared" si="346"/>
        <v>0</v>
      </c>
      <c r="Y192" s="9">
        <f t="shared" si="346"/>
        <v>0</v>
      </c>
      <c r="Z192" s="9">
        <f t="shared" si="346"/>
        <v>0</v>
      </c>
      <c r="AA192" s="9"/>
      <c r="AB192" s="9"/>
      <c r="AC192" s="9"/>
      <c r="AD192" s="66">
        <f t="shared" ref="AD192:AW192" si="347">SUM(AD189:AD191)</f>
        <v>0</v>
      </c>
      <c r="AE192" s="9">
        <f t="shared" si="347"/>
        <v>0</v>
      </c>
      <c r="AF192" s="9">
        <f t="shared" si="347"/>
        <v>267830</v>
      </c>
      <c r="AG192" s="9">
        <f t="shared" si="347"/>
        <v>0</v>
      </c>
      <c r="AH192" s="9">
        <f t="shared" si="347"/>
        <v>0</v>
      </c>
      <c r="AI192" s="9">
        <f t="shared" si="347"/>
        <v>0</v>
      </c>
      <c r="AJ192" s="9">
        <f t="shared" si="347"/>
        <v>0</v>
      </c>
      <c r="AK192" s="9">
        <f t="shared" si="347"/>
        <v>272000</v>
      </c>
      <c r="AL192" s="9">
        <f t="shared" si="347"/>
        <v>0</v>
      </c>
      <c r="AM192" s="9">
        <f t="shared" si="347"/>
        <v>0</v>
      </c>
      <c r="AN192" s="9">
        <f t="shared" si="347"/>
        <v>0</v>
      </c>
      <c r="AO192" s="66">
        <f t="shared" si="347"/>
        <v>272000</v>
      </c>
      <c r="AP192" s="66">
        <f t="shared" si="347"/>
        <v>0</v>
      </c>
      <c r="AQ192" s="66">
        <f t="shared" si="347"/>
        <v>272000</v>
      </c>
      <c r="AR192" s="9">
        <f t="shared" si="347"/>
        <v>279999</v>
      </c>
      <c r="AS192" s="9">
        <f t="shared" si="347"/>
        <v>176985</v>
      </c>
      <c r="AT192" s="9">
        <f t="shared" si="347"/>
        <v>2750261</v>
      </c>
      <c r="AU192" s="9">
        <f t="shared" si="347"/>
        <v>0</v>
      </c>
      <c r="AV192" s="9">
        <f t="shared" si="347"/>
        <v>0</v>
      </c>
      <c r="AW192" s="9">
        <f t="shared" si="347"/>
        <v>3747075</v>
      </c>
      <c r="AX192" s="10" t="s">
        <v>147</v>
      </c>
    </row>
    <row r="193" spans="1:53" s="4" customFormat="1" ht="94.5" customHeight="1">
      <c r="A193" s="127"/>
      <c r="B193" s="112"/>
      <c r="C193" s="114"/>
      <c r="D193" s="25" t="s">
        <v>22</v>
      </c>
      <c r="E193" s="25">
        <v>510228</v>
      </c>
      <c r="F193" s="37" t="s">
        <v>80</v>
      </c>
      <c r="G193" s="37"/>
      <c r="H193" s="14"/>
      <c r="I193" s="14"/>
      <c r="J193" s="14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67"/>
      <c r="AE193" s="26"/>
      <c r="AF193" s="26">
        <v>4840</v>
      </c>
      <c r="AG193" s="26"/>
      <c r="AH193" s="26"/>
      <c r="AI193" s="26"/>
      <c r="AJ193" s="26"/>
      <c r="AK193" s="26">
        <v>10000</v>
      </c>
      <c r="AL193" s="26"/>
      <c r="AM193" s="26"/>
      <c r="AN193" s="26"/>
      <c r="AO193" s="67">
        <f t="shared" ref="AO193:AO194" si="348">AG193+AI193+AK193+AM193</f>
        <v>10000</v>
      </c>
      <c r="AP193" s="67">
        <f t="shared" ref="AP193:AP194" si="349">AH193+AJ193+AL193+AN193</f>
        <v>0</v>
      </c>
      <c r="AQ193" s="67">
        <f t="shared" ref="AQ193:AQ194" si="350">AO193+AP193</f>
        <v>10000</v>
      </c>
      <c r="AR193" s="26">
        <v>58877</v>
      </c>
      <c r="AS193" s="26">
        <v>113097</v>
      </c>
      <c r="AT193" s="26">
        <v>63560</v>
      </c>
      <c r="AU193" s="26"/>
      <c r="AV193" s="26"/>
      <c r="AW193" s="26">
        <f t="shared" ref="AW193:AW194" si="351">AF193+AQ193+AR193+AS193+AT193+AU193+AV193</f>
        <v>250374</v>
      </c>
      <c r="AX193" s="14" t="s">
        <v>147</v>
      </c>
      <c r="AY193" s="41">
        <v>250373.99</v>
      </c>
      <c r="AZ193" s="41">
        <f>AW193-AY193</f>
        <v>1.0000000009313226E-2</v>
      </c>
      <c r="BA193" s="41"/>
    </row>
    <row r="194" spans="1:53" s="4" customFormat="1" ht="109.5" customHeight="1">
      <c r="A194" s="127"/>
      <c r="B194" s="112"/>
      <c r="C194" s="114"/>
      <c r="D194" s="25" t="s">
        <v>22</v>
      </c>
      <c r="E194" s="25">
        <v>510228</v>
      </c>
      <c r="F194" s="37" t="s">
        <v>81</v>
      </c>
      <c r="G194" s="37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67"/>
      <c r="AE194" s="26"/>
      <c r="AF194" s="26">
        <v>262990</v>
      </c>
      <c r="AG194" s="26"/>
      <c r="AH194" s="26"/>
      <c r="AI194" s="26"/>
      <c r="AJ194" s="26"/>
      <c r="AK194" s="26">
        <v>262000</v>
      </c>
      <c r="AL194" s="26"/>
      <c r="AM194" s="26"/>
      <c r="AN194" s="26"/>
      <c r="AO194" s="67">
        <f t="shared" si="348"/>
        <v>262000</v>
      </c>
      <c r="AP194" s="67">
        <f t="shared" si="349"/>
        <v>0</v>
      </c>
      <c r="AQ194" s="67">
        <f t="shared" si="350"/>
        <v>262000</v>
      </c>
      <c r="AR194" s="26">
        <v>221122</v>
      </c>
      <c r="AS194" s="26">
        <v>63888</v>
      </c>
      <c r="AT194" s="26">
        <v>2686701</v>
      </c>
      <c r="AU194" s="26"/>
      <c r="AV194" s="26"/>
      <c r="AW194" s="26">
        <f t="shared" si="351"/>
        <v>3496701</v>
      </c>
      <c r="AX194" s="14" t="s">
        <v>147</v>
      </c>
      <c r="AY194" s="76">
        <v>3496701.47</v>
      </c>
      <c r="AZ194" s="41">
        <f>AW194-AY194</f>
        <v>-0.47000000020489097</v>
      </c>
      <c r="BA194" s="41"/>
    </row>
    <row r="195" spans="1:53" s="4" customFormat="1">
      <c r="A195" s="128"/>
      <c r="B195" s="113"/>
      <c r="C195" s="115"/>
      <c r="D195" s="25" t="s">
        <v>22</v>
      </c>
      <c r="E195" s="25">
        <v>510228</v>
      </c>
      <c r="F195" s="37" t="s">
        <v>29</v>
      </c>
      <c r="G195" s="37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>
        <f t="shared" ref="V195:Z195" si="352">SUM(V193:V194)</f>
        <v>0</v>
      </c>
      <c r="W195" s="26">
        <f t="shared" si="352"/>
        <v>0</v>
      </c>
      <c r="X195" s="26">
        <f t="shared" si="352"/>
        <v>0</v>
      </c>
      <c r="Y195" s="26">
        <f t="shared" si="352"/>
        <v>0</v>
      </c>
      <c r="Z195" s="26">
        <f t="shared" si="352"/>
        <v>0</v>
      </c>
      <c r="AA195" s="26"/>
      <c r="AB195" s="26"/>
      <c r="AC195" s="26"/>
      <c r="AD195" s="67">
        <f t="shared" ref="AD195:AW195" si="353">SUM(AD193:AD194)</f>
        <v>0</v>
      </c>
      <c r="AE195" s="26">
        <f t="shared" si="353"/>
        <v>0</v>
      </c>
      <c r="AF195" s="26">
        <f t="shared" si="353"/>
        <v>267830</v>
      </c>
      <c r="AG195" s="26">
        <f t="shared" si="353"/>
        <v>0</v>
      </c>
      <c r="AH195" s="26">
        <f t="shared" si="353"/>
        <v>0</v>
      </c>
      <c r="AI195" s="26">
        <f t="shared" si="353"/>
        <v>0</v>
      </c>
      <c r="AJ195" s="26">
        <f t="shared" si="353"/>
        <v>0</v>
      </c>
      <c r="AK195" s="26">
        <f t="shared" si="353"/>
        <v>272000</v>
      </c>
      <c r="AL195" s="26">
        <f t="shared" si="353"/>
        <v>0</v>
      </c>
      <c r="AM195" s="26">
        <f t="shared" si="353"/>
        <v>0</v>
      </c>
      <c r="AN195" s="26">
        <f t="shared" si="353"/>
        <v>0</v>
      </c>
      <c r="AO195" s="67">
        <f t="shared" si="353"/>
        <v>272000</v>
      </c>
      <c r="AP195" s="67">
        <f t="shared" si="353"/>
        <v>0</v>
      </c>
      <c r="AQ195" s="67">
        <f t="shared" si="353"/>
        <v>272000</v>
      </c>
      <c r="AR195" s="26">
        <f t="shared" si="353"/>
        <v>279999</v>
      </c>
      <c r="AS195" s="26">
        <f t="shared" si="353"/>
        <v>176985</v>
      </c>
      <c r="AT195" s="26">
        <f t="shared" si="353"/>
        <v>2750261</v>
      </c>
      <c r="AU195" s="26">
        <f t="shared" si="353"/>
        <v>0</v>
      </c>
      <c r="AV195" s="26">
        <f t="shared" si="353"/>
        <v>0</v>
      </c>
      <c r="AW195" s="26">
        <f t="shared" si="353"/>
        <v>3747075</v>
      </c>
      <c r="AX195" s="14" t="s">
        <v>147</v>
      </c>
      <c r="AY195" s="41">
        <f>SUM(AY193:AY194)</f>
        <v>3747075.46</v>
      </c>
      <c r="AZ195" s="41">
        <f>AW195-AY195</f>
        <v>-0.4599999999627471</v>
      </c>
      <c r="BA195" s="41"/>
    </row>
    <row r="196" spans="1:53" s="5" customFormat="1" ht="44.25" customHeight="1">
      <c r="A196" s="116" t="s">
        <v>329</v>
      </c>
      <c r="B196" s="111" t="s">
        <v>127</v>
      </c>
      <c r="C196" s="129">
        <v>67</v>
      </c>
      <c r="D196" s="7"/>
      <c r="E196" s="7"/>
      <c r="F196" s="8" t="s">
        <v>19</v>
      </c>
      <c r="G196" s="7">
        <v>101128606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>
        <v>20000</v>
      </c>
      <c r="S196" s="9"/>
      <c r="T196" s="9">
        <f t="shared" ref="T196:T197" si="354">SUM(P196:S196)</f>
        <v>20000</v>
      </c>
      <c r="U196" s="9">
        <v>13873</v>
      </c>
      <c r="V196" s="9">
        <f t="shared" si="271"/>
        <v>13873</v>
      </c>
      <c r="W196" s="9">
        <v>10000</v>
      </c>
      <c r="X196" s="9">
        <v>10000</v>
      </c>
      <c r="Y196" s="9">
        <v>0</v>
      </c>
      <c r="Z196" s="9">
        <v>10000</v>
      </c>
      <c r="AA196" s="9"/>
      <c r="AB196" s="9"/>
      <c r="AC196" s="9"/>
      <c r="AD196" s="66">
        <f t="shared" si="214"/>
        <v>30000</v>
      </c>
      <c r="AE196" s="9">
        <v>22529.64</v>
      </c>
      <c r="AF196" s="9">
        <f t="shared" si="291"/>
        <v>36402.639999999999</v>
      </c>
      <c r="AG196" s="9">
        <v>14000</v>
      </c>
      <c r="AH196" s="9"/>
      <c r="AI196" s="9"/>
      <c r="AJ196" s="9"/>
      <c r="AK196" s="9"/>
      <c r="AL196" s="9"/>
      <c r="AM196" s="9"/>
      <c r="AN196" s="9"/>
      <c r="AO196" s="66">
        <f t="shared" si="330"/>
        <v>14000</v>
      </c>
      <c r="AP196" s="66">
        <f t="shared" si="331"/>
        <v>0</v>
      </c>
      <c r="AQ196" s="66">
        <f t="shared" si="332"/>
        <v>14000</v>
      </c>
      <c r="AR196" s="9"/>
      <c r="AS196" s="9"/>
      <c r="AT196" s="9"/>
      <c r="AU196" s="9"/>
      <c r="AV196" s="9"/>
      <c r="AW196" s="9">
        <f t="shared" si="333"/>
        <v>50402.64</v>
      </c>
      <c r="AX196" s="44" t="s">
        <v>125</v>
      </c>
    </row>
    <row r="197" spans="1:53" s="4" customFormat="1" ht="79.5" customHeight="1">
      <c r="A197" s="127"/>
      <c r="B197" s="112"/>
      <c r="C197" s="114"/>
      <c r="D197" s="25"/>
      <c r="E197" s="25">
        <v>510229</v>
      </c>
      <c r="F197" s="37" t="s">
        <v>126</v>
      </c>
      <c r="G197" s="25">
        <v>101128606</v>
      </c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>
        <v>20000</v>
      </c>
      <c r="S197" s="26"/>
      <c r="T197" s="26">
        <f t="shared" si="354"/>
        <v>20000</v>
      </c>
      <c r="U197" s="26">
        <v>13873</v>
      </c>
      <c r="V197" s="26">
        <f t="shared" si="271"/>
        <v>13873</v>
      </c>
      <c r="W197" s="26">
        <f>W432</f>
        <v>10000</v>
      </c>
      <c r="X197" s="26">
        <f t="shared" ref="X197:Z197" si="355">X432</f>
        <v>10000</v>
      </c>
      <c r="Y197" s="26">
        <f t="shared" si="355"/>
        <v>0</v>
      </c>
      <c r="Z197" s="26">
        <f t="shared" si="355"/>
        <v>10000</v>
      </c>
      <c r="AA197" s="26"/>
      <c r="AB197" s="26"/>
      <c r="AC197" s="26"/>
      <c r="AD197" s="67">
        <f t="shared" si="214"/>
        <v>30000</v>
      </c>
      <c r="AE197" s="26">
        <v>22529.64</v>
      </c>
      <c r="AF197" s="26">
        <f t="shared" si="291"/>
        <v>36402.639999999999</v>
      </c>
      <c r="AG197" s="26">
        <v>14000</v>
      </c>
      <c r="AH197" s="26"/>
      <c r="AI197" s="26"/>
      <c r="AJ197" s="26"/>
      <c r="AK197" s="26"/>
      <c r="AL197" s="26"/>
      <c r="AM197" s="26"/>
      <c r="AN197" s="26"/>
      <c r="AO197" s="67">
        <f t="shared" si="330"/>
        <v>14000</v>
      </c>
      <c r="AP197" s="67">
        <f t="shared" si="331"/>
        <v>0</v>
      </c>
      <c r="AQ197" s="67">
        <f t="shared" si="332"/>
        <v>14000</v>
      </c>
      <c r="AR197" s="26"/>
      <c r="AS197" s="26"/>
      <c r="AT197" s="26"/>
      <c r="AU197" s="26"/>
      <c r="AV197" s="26"/>
      <c r="AW197" s="26">
        <f t="shared" si="333"/>
        <v>50402.64</v>
      </c>
      <c r="AX197" s="57" t="s">
        <v>125</v>
      </c>
    </row>
    <row r="198" spans="1:53" s="42" customFormat="1">
      <c r="A198" s="128"/>
      <c r="B198" s="113"/>
      <c r="C198" s="115"/>
      <c r="D198" s="28"/>
      <c r="E198" s="28"/>
      <c r="F198" s="29"/>
      <c r="G198" s="28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68">
        <f t="shared" si="214"/>
        <v>0</v>
      </c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68">
        <f t="shared" si="330"/>
        <v>0</v>
      </c>
      <c r="AP198" s="68">
        <f t="shared" si="331"/>
        <v>0</v>
      </c>
      <c r="AQ198" s="68">
        <f t="shared" si="332"/>
        <v>0</v>
      </c>
      <c r="AR198" s="30"/>
      <c r="AS198" s="30"/>
      <c r="AT198" s="30"/>
      <c r="AU198" s="30"/>
      <c r="AV198" s="30"/>
      <c r="AW198" s="30">
        <f t="shared" si="333"/>
        <v>0</v>
      </c>
      <c r="AX198" s="30"/>
      <c r="AZ198" s="42">
        <f t="shared" si="276"/>
        <v>0</v>
      </c>
    </row>
    <row r="199" spans="1:53" s="5" customFormat="1">
      <c r="A199" s="116" t="s">
        <v>330</v>
      </c>
      <c r="B199" s="111" t="s">
        <v>223</v>
      </c>
      <c r="C199" s="138">
        <v>68</v>
      </c>
      <c r="D199" s="7" t="s">
        <v>21</v>
      </c>
      <c r="E199" s="7">
        <v>45024901</v>
      </c>
      <c r="F199" s="8" t="s">
        <v>225</v>
      </c>
      <c r="G199" s="7" t="s">
        <v>226</v>
      </c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>
        <v>1284000</v>
      </c>
      <c r="Z199" s="9"/>
      <c r="AA199" s="9"/>
      <c r="AB199" s="9"/>
      <c r="AC199" s="9"/>
      <c r="AD199" s="66">
        <f>SUM(W199:Z199)</f>
        <v>1284000</v>
      </c>
      <c r="AE199" s="9">
        <v>0</v>
      </c>
      <c r="AF199" s="9">
        <f t="shared" si="291"/>
        <v>0</v>
      </c>
      <c r="AG199" s="9">
        <f>33700-700</f>
        <v>33000</v>
      </c>
      <c r="AH199" s="9"/>
      <c r="AI199" s="9">
        <f>163812+700-512</f>
        <v>164000</v>
      </c>
      <c r="AJ199" s="9"/>
      <c r="AK199" s="9">
        <f>163812+512-324</f>
        <v>164000</v>
      </c>
      <c r="AL199" s="9"/>
      <c r="AM199" s="9">
        <f>163812+324-136</f>
        <v>164000</v>
      </c>
      <c r="AN199" s="9"/>
      <c r="AO199" s="66">
        <f t="shared" si="330"/>
        <v>525000</v>
      </c>
      <c r="AP199" s="66">
        <f t="shared" si="331"/>
        <v>0</v>
      </c>
      <c r="AQ199" s="66">
        <f t="shared" si="332"/>
        <v>525000</v>
      </c>
      <c r="AR199" s="9">
        <f>539763+136</f>
        <v>539899</v>
      </c>
      <c r="AS199" s="9">
        <v>218566</v>
      </c>
      <c r="AT199" s="9"/>
      <c r="AU199" s="9"/>
      <c r="AV199" s="9"/>
      <c r="AW199" s="9">
        <f t="shared" si="333"/>
        <v>1283465</v>
      </c>
      <c r="AX199" s="9" t="s">
        <v>224</v>
      </c>
      <c r="AY199" s="5">
        <v>1283464.21</v>
      </c>
      <c r="AZ199" s="5">
        <f t="shared" si="276"/>
        <v>0.7900000000372529</v>
      </c>
    </row>
    <row r="200" spans="1:53" s="5" customFormat="1" ht="135">
      <c r="A200" s="127"/>
      <c r="B200" s="112"/>
      <c r="C200" s="146"/>
      <c r="D200" s="7" t="s">
        <v>21</v>
      </c>
      <c r="E200" s="7">
        <v>42029303</v>
      </c>
      <c r="F200" s="8" t="s">
        <v>146</v>
      </c>
      <c r="G200" s="7" t="s">
        <v>226</v>
      </c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>
        <v>196000</v>
      </c>
      <c r="Z200" s="9"/>
      <c r="AA200" s="9"/>
      <c r="AB200" s="9"/>
      <c r="AC200" s="9"/>
      <c r="AD200" s="66">
        <f t="shared" ref="AD200:AD207" si="356">SUM(W200:Z200)</f>
        <v>196000</v>
      </c>
      <c r="AE200" s="9">
        <v>0</v>
      </c>
      <c r="AF200" s="9">
        <f t="shared" si="291"/>
        <v>0</v>
      </c>
      <c r="AG200" s="9">
        <f>5153-153</f>
        <v>5000</v>
      </c>
      <c r="AH200" s="9"/>
      <c r="AI200" s="9">
        <f>25054+153-207</f>
        <v>25000</v>
      </c>
      <c r="AJ200" s="9"/>
      <c r="AK200" s="9">
        <f>25054+207-261</f>
        <v>25000</v>
      </c>
      <c r="AL200" s="9"/>
      <c r="AM200" s="9">
        <f>25054+261-315</f>
        <v>25000</v>
      </c>
      <c r="AN200" s="9"/>
      <c r="AO200" s="66">
        <f t="shared" si="330"/>
        <v>80000</v>
      </c>
      <c r="AP200" s="66">
        <f t="shared" si="331"/>
        <v>0</v>
      </c>
      <c r="AQ200" s="66">
        <f t="shared" si="332"/>
        <v>80000</v>
      </c>
      <c r="AR200" s="9">
        <f>82552+315</f>
        <v>82867</v>
      </c>
      <c r="AS200" s="9">
        <v>33427</v>
      </c>
      <c r="AT200" s="9"/>
      <c r="AU200" s="9"/>
      <c r="AV200" s="9"/>
      <c r="AW200" s="9">
        <f t="shared" si="333"/>
        <v>196294</v>
      </c>
      <c r="AX200" s="9" t="s">
        <v>224</v>
      </c>
      <c r="AY200" s="5">
        <v>196294.53</v>
      </c>
      <c r="AZ200" s="5">
        <f t="shared" si="276"/>
        <v>-0.52999999999883585</v>
      </c>
    </row>
    <row r="201" spans="1:53" s="5" customFormat="1">
      <c r="A201" s="127"/>
      <c r="B201" s="112"/>
      <c r="C201" s="146"/>
      <c r="D201" s="7" t="s">
        <v>21</v>
      </c>
      <c r="E201" s="36"/>
      <c r="F201" s="7" t="s">
        <v>19</v>
      </c>
      <c r="G201" s="7" t="s">
        <v>226</v>
      </c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>
        <f>V202-V199-V200</f>
        <v>0</v>
      </c>
      <c r="W201" s="9">
        <f t="shared" ref="W201:AF201" si="357">W202-W199-W200</f>
        <v>0</v>
      </c>
      <c r="X201" s="9">
        <f t="shared" si="357"/>
        <v>0</v>
      </c>
      <c r="Y201" s="9">
        <f t="shared" si="357"/>
        <v>30000</v>
      </c>
      <c r="Z201" s="9">
        <f t="shared" si="357"/>
        <v>0</v>
      </c>
      <c r="AA201" s="9"/>
      <c r="AB201" s="9"/>
      <c r="AC201" s="9"/>
      <c r="AD201" s="66">
        <f t="shared" si="356"/>
        <v>30000</v>
      </c>
      <c r="AE201" s="9">
        <f t="shared" si="357"/>
        <v>39646</v>
      </c>
      <c r="AF201" s="9">
        <f t="shared" si="357"/>
        <v>39646</v>
      </c>
      <c r="AG201" s="9">
        <f t="shared" ref="AG201:AW201" si="358">AG202-AG199-AG200</f>
        <v>93000</v>
      </c>
      <c r="AH201" s="9">
        <f t="shared" si="358"/>
        <v>0</v>
      </c>
      <c r="AI201" s="9">
        <f t="shared" si="358"/>
        <v>-60000</v>
      </c>
      <c r="AJ201" s="9">
        <f t="shared" si="358"/>
        <v>0</v>
      </c>
      <c r="AK201" s="9">
        <f t="shared" si="358"/>
        <v>122000</v>
      </c>
      <c r="AL201" s="9">
        <f t="shared" si="358"/>
        <v>0</v>
      </c>
      <c r="AM201" s="9">
        <f t="shared" si="358"/>
        <v>11000</v>
      </c>
      <c r="AN201" s="9">
        <f t="shared" si="358"/>
        <v>0</v>
      </c>
      <c r="AO201" s="66">
        <f t="shared" si="358"/>
        <v>166000</v>
      </c>
      <c r="AP201" s="66">
        <f t="shared" si="358"/>
        <v>0</v>
      </c>
      <c r="AQ201" s="66">
        <f t="shared" si="358"/>
        <v>166000</v>
      </c>
      <c r="AR201" s="9">
        <f t="shared" si="358"/>
        <v>-33160</v>
      </c>
      <c r="AS201" s="9">
        <f t="shared" si="358"/>
        <v>-142287</v>
      </c>
      <c r="AT201" s="9">
        <f t="shared" si="358"/>
        <v>0</v>
      </c>
      <c r="AU201" s="9">
        <f t="shared" si="358"/>
        <v>0</v>
      </c>
      <c r="AV201" s="9">
        <f t="shared" si="358"/>
        <v>0</v>
      </c>
      <c r="AW201" s="9">
        <f t="shared" si="358"/>
        <v>30199.000000000233</v>
      </c>
      <c r="AX201" s="9" t="s">
        <v>224</v>
      </c>
      <c r="AY201" s="5">
        <v>30199.16</v>
      </c>
      <c r="AZ201" s="5">
        <f t="shared" si="276"/>
        <v>-0.15999999976702384</v>
      </c>
    </row>
    <row r="202" spans="1:53" s="5" customFormat="1">
      <c r="A202" s="127"/>
      <c r="B202" s="112"/>
      <c r="C202" s="146"/>
      <c r="D202" s="7" t="s">
        <v>21</v>
      </c>
      <c r="E202" s="7"/>
      <c r="F202" s="8" t="s">
        <v>34</v>
      </c>
      <c r="G202" s="7" t="s">
        <v>226</v>
      </c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>
        <f>V207</f>
        <v>0</v>
      </c>
      <c r="W202" s="9">
        <f t="shared" ref="W202:AF202" si="359">W207</f>
        <v>0</v>
      </c>
      <c r="X202" s="9">
        <f t="shared" si="359"/>
        <v>0</v>
      </c>
      <c r="Y202" s="9">
        <f t="shared" si="359"/>
        <v>1510000</v>
      </c>
      <c r="Z202" s="9">
        <f t="shared" si="359"/>
        <v>0</v>
      </c>
      <c r="AA202" s="9"/>
      <c r="AB202" s="9"/>
      <c r="AC202" s="9"/>
      <c r="AD202" s="66">
        <f t="shared" si="356"/>
        <v>1510000</v>
      </c>
      <c r="AE202" s="9">
        <f t="shared" si="359"/>
        <v>39646</v>
      </c>
      <c r="AF202" s="9">
        <f t="shared" si="359"/>
        <v>39646</v>
      </c>
      <c r="AG202" s="9">
        <f t="shared" ref="AG202:AW202" si="360">AG207</f>
        <v>131000</v>
      </c>
      <c r="AH202" s="9">
        <f t="shared" si="360"/>
        <v>0</v>
      </c>
      <c r="AI202" s="9">
        <f t="shared" si="360"/>
        <v>129000</v>
      </c>
      <c r="AJ202" s="9">
        <f t="shared" si="360"/>
        <v>0</v>
      </c>
      <c r="AK202" s="9">
        <f t="shared" si="360"/>
        <v>311000</v>
      </c>
      <c r="AL202" s="9">
        <f t="shared" si="360"/>
        <v>0</v>
      </c>
      <c r="AM202" s="9">
        <f t="shared" si="360"/>
        <v>200000</v>
      </c>
      <c r="AN202" s="9">
        <f t="shared" si="360"/>
        <v>0</v>
      </c>
      <c r="AO202" s="66">
        <f t="shared" si="360"/>
        <v>771000</v>
      </c>
      <c r="AP202" s="66">
        <f t="shared" si="360"/>
        <v>0</v>
      </c>
      <c r="AQ202" s="66">
        <f t="shared" si="360"/>
        <v>771000</v>
      </c>
      <c r="AR202" s="9">
        <f t="shared" si="360"/>
        <v>589606</v>
      </c>
      <c r="AS202" s="9">
        <f t="shared" si="360"/>
        <v>109706</v>
      </c>
      <c r="AT202" s="9">
        <f t="shared" si="360"/>
        <v>0</v>
      </c>
      <c r="AU202" s="9">
        <f t="shared" si="360"/>
        <v>0</v>
      </c>
      <c r="AV202" s="9">
        <f t="shared" si="360"/>
        <v>0</v>
      </c>
      <c r="AW202" s="9">
        <f t="shared" si="360"/>
        <v>1509958.0000000002</v>
      </c>
      <c r="AX202" s="9" t="s">
        <v>224</v>
      </c>
      <c r="AY202" s="5">
        <v>1509957.9</v>
      </c>
      <c r="AZ202" s="5">
        <f t="shared" si="276"/>
        <v>0.1000000003259629</v>
      </c>
    </row>
    <row r="203" spans="1:53" s="4" customFormat="1" ht="30">
      <c r="A203" s="127"/>
      <c r="B203" s="112"/>
      <c r="C203" s="146"/>
      <c r="D203" s="25" t="s">
        <v>22</v>
      </c>
      <c r="E203" s="25">
        <v>564901</v>
      </c>
      <c r="F203" s="37" t="s">
        <v>41</v>
      </c>
      <c r="G203" s="25" t="s">
        <v>226</v>
      </c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>
        <f>SUM(V204:V205)</f>
        <v>0</v>
      </c>
      <c r="W203" s="26">
        <f t="shared" ref="W203:AF203" si="361">SUM(W204:W205)</f>
        <v>0</v>
      </c>
      <c r="X203" s="26">
        <f t="shared" si="361"/>
        <v>0</v>
      </c>
      <c r="Y203" s="26">
        <f t="shared" si="361"/>
        <v>226000</v>
      </c>
      <c r="Z203" s="26">
        <f t="shared" si="361"/>
        <v>0</v>
      </c>
      <c r="AA203" s="26"/>
      <c r="AB203" s="26"/>
      <c r="AC203" s="26"/>
      <c r="AD203" s="67">
        <f t="shared" si="356"/>
        <v>226000</v>
      </c>
      <c r="AE203" s="26">
        <f t="shared" si="361"/>
        <v>5946</v>
      </c>
      <c r="AF203" s="26">
        <f t="shared" si="361"/>
        <v>5946</v>
      </c>
      <c r="AG203" s="26">
        <f t="shared" ref="AG203:AW203" si="362">SUM(AG204:AG205)</f>
        <v>20000</v>
      </c>
      <c r="AH203" s="26">
        <f t="shared" si="362"/>
        <v>0</v>
      </c>
      <c r="AI203" s="26">
        <f t="shared" si="362"/>
        <v>19000</v>
      </c>
      <c r="AJ203" s="26">
        <f t="shared" si="362"/>
        <v>0</v>
      </c>
      <c r="AK203" s="26">
        <f t="shared" si="362"/>
        <v>47000</v>
      </c>
      <c r="AL203" s="26">
        <f t="shared" si="362"/>
        <v>0</v>
      </c>
      <c r="AM203" s="26">
        <f t="shared" si="362"/>
        <v>30000</v>
      </c>
      <c r="AN203" s="26">
        <f t="shared" si="362"/>
        <v>0</v>
      </c>
      <c r="AO203" s="67">
        <f t="shared" si="362"/>
        <v>116000</v>
      </c>
      <c r="AP203" s="67">
        <f t="shared" si="362"/>
        <v>0</v>
      </c>
      <c r="AQ203" s="67">
        <f t="shared" si="362"/>
        <v>116000</v>
      </c>
      <c r="AR203" s="26">
        <f t="shared" si="362"/>
        <v>88090.9</v>
      </c>
      <c r="AS203" s="26">
        <f t="shared" si="362"/>
        <v>16455.900000000001</v>
      </c>
      <c r="AT203" s="26">
        <f t="shared" si="362"/>
        <v>0</v>
      </c>
      <c r="AU203" s="26">
        <f t="shared" si="362"/>
        <v>0</v>
      </c>
      <c r="AV203" s="26">
        <f t="shared" si="362"/>
        <v>0</v>
      </c>
      <c r="AW203" s="26">
        <f t="shared" si="362"/>
        <v>226492.79999999999</v>
      </c>
      <c r="AX203" s="26" t="s">
        <v>224</v>
      </c>
      <c r="AY203" s="4">
        <v>226493.69</v>
      </c>
      <c r="AZ203" s="4">
        <f t="shared" si="276"/>
        <v>-0.89000000001396984</v>
      </c>
    </row>
    <row r="204" spans="1:53" s="4" customFormat="1">
      <c r="A204" s="127"/>
      <c r="B204" s="112"/>
      <c r="C204" s="146"/>
      <c r="D204" s="25" t="s">
        <v>22</v>
      </c>
      <c r="E204" s="25"/>
      <c r="F204" s="37" t="s">
        <v>23</v>
      </c>
      <c r="G204" s="25" t="s">
        <v>226</v>
      </c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>
        <v>30199.16</v>
      </c>
      <c r="Z204" s="26"/>
      <c r="AA204" s="26"/>
      <c r="AB204" s="26"/>
      <c r="AC204" s="26"/>
      <c r="AD204" s="67">
        <f t="shared" si="356"/>
        <v>30199.16</v>
      </c>
      <c r="AE204" s="26">
        <f>5946*2/15</f>
        <v>792.8</v>
      </c>
      <c r="AF204" s="26">
        <f t="shared" ref="AF204:AF217" si="363">V204+AE204</f>
        <v>792.8</v>
      </c>
      <c r="AG204" s="26">
        <f>130000*2%+500</f>
        <v>3100</v>
      </c>
      <c r="AH204" s="26"/>
      <c r="AI204" s="26">
        <f>130000*2%-500</f>
        <v>2100</v>
      </c>
      <c r="AJ204" s="26"/>
      <c r="AK204" s="26">
        <f>310000*2%+500</f>
        <v>6700</v>
      </c>
      <c r="AL204" s="26"/>
      <c r="AM204" s="26">
        <f>200878*2%-500+368.3</f>
        <v>3885.86</v>
      </c>
      <c r="AN204" s="26"/>
      <c r="AO204" s="67">
        <f t="shared" si="330"/>
        <v>15785.86</v>
      </c>
      <c r="AP204" s="67">
        <f t="shared" si="331"/>
        <v>0</v>
      </c>
      <c r="AQ204" s="67">
        <f t="shared" si="332"/>
        <v>15785.86</v>
      </c>
      <c r="AR204" s="26">
        <f>589728*2%-368.3</f>
        <v>11426.26</v>
      </c>
      <c r="AS204" s="26">
        <f>109706*2%</f>
        <v>2194.12</v>
      </c>
      <c r="AT204" s="26"/>
      <c r="AU204" s="26"/>
      <c r="AV204" s="26"/>
      <c r="AW204" s="26">
        <f t="shared" si="333"/>
        <v>30199.039999999997</v>
      </c>
      <c r="AX204" s="26" t="s">
        <v>224</v>
      </c>
      <c r="AY204" s="4">
        <v>30199.16</v>
      </c>
      <c r="AZ204" s="4">
        <f t="shared" si="276"/>
        <v>-0.12000000000261934</v>
      </c>
    </row>
    <row r="205" spans="1:53" s="4" customFormat="1">
      <c r="A205" s="127"/>
      <c r="B205" s="112"/>
      <c r="C205" s="146"/>
      <c r="D205" s="25" t="s">
        <v>22</v>
      </c>
      <c r="E205" s="25"/>
      <c r="F205" s="37" t="s">
        <v>42</v>
      </c>
      <c r="G205" s="25" t="s">
        <v>226</v>
      </c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>
        <f>196294.53-493.690000000002</f>
        <v>195800.84</v>
      </c>
      <c r="Z205" s="26"/>
      <c r="AA205" s="26"/>
      <c r="AB205" s="26"/>
      <c r="AC205" s="26"/>
      <c r="AD205" s="67">
        <f t="shared" si="356"/>
        <v>195800.84</v>
      </c>
      <c r="AE205" s="26">
        <f>5946*13/15</f>
        <v>5153.2</v>
      </c>
      <c r="AF205" s="26">
        <f t="shared" si="363"/>
        <v>5153.2</v>
      </c>
      <c r="AG205" s="26">
        <f>130000*13%</f>
        <v>16900</v>
      </c>
      <c r="AH205" s="26"/>
      <c r="AI205" s="26">
        <f>130000*13%</f>
        <v>16900</v>
      </c>
      <c r="AJ205" s="26"/>
      <c r="AK205" s="26">
        <f>310000*13%</f>
        <v>40300</v>
      </c>
      <c r="AL205" s="26"/>
      <c r="AM205" s="26">
        <f>200878*13%</f>
        <v>26114.14</v>
      </c>
      <c r="AN205" s="26"/>
      <c r="AO205" s="67">
        <f t="shared" si="330"/>
        <v>100214.14</v>
      </c>
      <c r="AP205" s="67">
        <f t="shared" si="331"/>
        <v>0</v>
      </c>
      <c r="AQ205" s="67">
        <f t="shared" si="332"/>
        <v>100214.14</v>
      </c>
      <c r="AR205" s="26">
        <f>589728*13%</f>
        <v>76664.639999999999</v>
      </c>
      <c r="AS205" s="26">
        <f>109706*13%</f>
        <v>14261.78</v>
      </c>
      <c r="AT205" s="26"/>
      <c r="AU205" s="26"/>
      <c r="AV205" s="26"/>
      <c r="AW205" s="26">
        <f t="shared" si="333"/>
        <v>196293.75999999998</v>
      </c>
      <c r="AX205" s="26" t="s">
        <v>224</v>
      </c>
      <c r="AY205" s="4">
        <v>196294.53</v>
      </c>
      <c r="AZ205" s="4">
        <f t="shared" si="276"/>
        <v>-0.77000000001862645</v>
      </c>
    </row>
    <row r="206" spans="1:53" s="4" customFormat="1" ht="30">
      <c r="A206" s="127"/>
      <c r="B206" s="112"/>
      <c r="C206" s="146"/>
      <c r="D206" s="25" t="s">
        <v>22</v>
      </c>
      <c r="E206" s="25">
        <v>564902</v>
      </c>
      <c r="F206" s="37" t="s">
        <v>31</v>
      </c>
      <c r="G206" s="25" t="s">
        <v>226</v>
      </c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>
        <f>1283464.21+535.790000000037</f>
        <v>1284000</v>
      </c>
      <c r="Z206" s="26"/>
      <c r="AA206" s="26"/>
      <c r="AB206" s="26"/>
      <c r="AC206" s="26"/>
      <c r="AD206" s="67">
        <f t="shared" si="356"/>
        <v>1284000</v>
      </c>
      <c r="AE206" s="26">
        <v>33700</v>
      </c>
      <c r="AF206" s="26">
        <f t="shared" si="363"/>
        <v>33700</v>
      </c>
      <c r="AG206" s="26">
        <f>130000*85%+500</f>
        <v>111000</v>
      </c>
      <c r="AH206" s="26"/>
      <c r="AI206" s="26">
        <f>130000*85%-500</f>
        <v>110000</v>
      </c>
      <c r="AJ206" s="26"/>
      <c r="AK206" s="26">
        <f>310000*85%+500</f>
        <v>264000</v>
      </c>
      <c r="AL206" s="26"/>
      <c r="AM206" s="26">
        <f>200878*85%-500-246.3</f>
        <v>170000</v>
      </c>
      <c r="AN206" s="26"/>
      <c r="AO206" s="67">
        <f t="shared" si="330"/>
        <v>655000</v>
      </c>
      <c r="AP206" s="67">
        <f t="shared" si="331"/>
        <v>0</v>
      </c>
      <c r="AQ206" s="67">
        <f t="shared" si="332"/>
        <v>655000</v>
      </c>
      <c r="AR206" s="26">
        <f>589728*85%+246.3</f>
        <v>501515.1</v>
      </c>
      <c r="AS206" s="26">
        <f>109706*85%</f>
        <v>93250.099999999991</v>
      </c>
      <c r="AT206" s="26"/>
      <c r="AU206" s="26"/>
      <c r="AV206" s="26"/>
      <c r="AW206" s="26">
        <f t="shared" si="333"/>
        <v>1283465.2000000002</v>
      </c>
      <c r="AX206" s="26" t="s">
        <v>224</v>
      </c>
      <c r="AY206" s="4">
        <v>1283464.21</v>
      </c>
      <c r="AZ206" s="4">
        <f t="shared" si="276"/>
        <v>0.99000000022351742</v>
      </c>
    </row>
    <row r="207" spans="1:53" s="4" customFormat="1">
      <c r="A207" s="128"/>
      <c r="B207" s="113"/>
      <c r="C207" s="147"/>
      <c r="D207" s="25" t="s">
        <v>22</v>
      </c>
      <c r="E207" s="25"/>
      <c r="F207" s="37" t="s">
        <v>29</v>
      </c>
      <c r="G207" s="25" t="s">
        <v>226</v>
      </c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>
        <f>V203+V206</f>
        <v>0</v>
      </c>
      <c r="W207" s="26">
        <f t="shared" ref="W207:AE207" si="364">W203+W206</f>
        <v>0</v>
      </c>
      <c r="X207" s="26">
        <f t="shared" si="364"/>
        <v>0</v>
      </c>
      <c r="Y207" s="26">
        <f t="shared" si="364"/>
        <v>1510000</v>
      </c>
      <c r="Z207" s="26">
        <f t="shared" si="364"/>
        <v>0</v>
      </c>
      <c r="AA207" s="26"/>
      <c r="AB207" s="26"/>
      <c r="AC207" s="26"/>
      <c r="AD207" s="67">
        <f t="shared" si="356"/>
        <v>1510000</v>
      </c>
      <c r="AE207" s="26">
        <f t="shared" si="364"/>
        <v>39646</v>
      </c>
      <c r="AF207" s="26">
        <f>AF203+AF206</f>
        <v>39646</v>
      </c>
      <c r="AG207" s="26">
        <f t="shared" ref="AG207:AW207" si="365">AG203+AG206</f>
        <v>131000</v>
      </c>
      <c r="AH207" s="26">
        <f t="shared" si="365"/>
        <v>0</v>
      </c>
      <c r="AI207" s="26">
        <f t="shared" si="365"/>
        <v>129000</v>
      </c>
      <c r="AJ207" s="26">
        <f t="shared" si="365"/>
        <v>0</v>
      </c>
      <c r="AK207" s="26">
        <f t="shared" si="365"/>
        <v>311000</v>
      </c>
      <c r="AL207" s="26">
        <f t="shared" si="365"/>
        <v>0</v>
      </c>
      <c r="AM207" s="26">
        <f t="shared" si="365"/>
        <v>200000</v>
      </c>
      <c r="AN207" s="26">
        <f t="shared" si="365"/>
        <v>0</v>
      </c>
      <c r="AO207" s="67">
        <f t="shared" si="365"/>
        <v>771000</v>
      </c>
      <c r="AP207" s="67">
        <f t="shared" si="365"/>
        <v>0</v>
      </c>
      <c r="AQ207" s="67">
        <f t="shared" si="365"/>
        <v>771000</v>
      </c>
      <c r="AR207" s="26">
        <f t="shared" si="365"/>
        <v>589606</v>
      </c>
      <c r="AS207" s="26">
        <f t="shared" si="365"/>
        <v>109706</v>
      </c>
      <c r="AT207" s="26">
        <f t="shared" si="365"/>
        <v>0</v>
      </c>
      <c r="AU207" s="26">
        <f t="shared" si="365"/>
        <v>0</v>
      </c>
      <c r="AV207" s="26">
        <f t="shared" si="365"/>
        <v>0</v>
      </c>
      <c r="AW207" s="26">
        <f t="shared" si="365"/>
        <v>1509958.0000000002</v>
      </c>
      <c r="AX207" s="26" t="s">
        <v>224</v>
      </c>
      <c r="AY207" s="4">
        <v>1509957.9</v>
      </c>
      <c r="AZ207" s="4">
        <f t="shared" si="276"/>
        <v>0.1000000003259629</v>
      </c>
    </row>
    <row r="208" spans="1:53" s="5" customFormat="1" ht="57.75" customHeight="1">
      <c r="A208" s="132" t="s">
        <v>331</v>
      </c>
      <c r="B208" s="133" t="s">
        <v>49</v>
      </c>
      <c r="C208" s="134">
        <v>70</v>
      </c>
      <c r="D208" s="7" t="s">
        <v>21</v>
      </c>
      <c r="E208" s="36"/>
      <c r="F208" s="7" t="s">
        <v>19</v>
      </c>
      <c r="G208" s="7">
        <v>318948</v>
      </c>
      <c r="H208" s="9"/>
      <c r="I208" s="9"/>
      <c r="J208" s="9"/>
      <c r="K208" s="9"/>
      <c r="L208" s="9"/>
      <c r="M208" s="9">
        <f t="shared" ref="M208:M209" si="366">SUM(I208:L208)</f>
        <v>0</v>
      </c>
      <c r="N208" s="9"/>
      <c r="O208" s="9">
        <f t="shared" ref="O208:O211" si="367">H208+N208</f>
        <v>0</v>
      </c>
      <c r="P208" s="53"/>
      <c r="Q208" s="9"/>
      <c r="R208" s="9"/>
      <c r="S208" s="9"/>
      <c r="T208" s="9">
        <f t="shared" ref="T208:T209" si="368">SUM(P208:S208)</f>
        <v>0</v>
      </c>
      <c r="U208" s="9"/>
      <c r="V208" s="9">
        <f t="shared" ref="V208:V213" si="369">O208+U208</f>
        <v>0</v>
      </c>
      <c r="W208" s="9">
        <v>108000</v>
      </c>
      <c r="X208" s="9"/>
      <c r="Y208" s="9"/>
      <c r="Z208" s="9"/>
      <c r="AA208" s="9"/>
      <c r="AB208" s="9"/>
      <c r="AC208" s="9"/>
      <c r="AD208" s="66">
        <f t="shared" ref="AD208:AD209" si="370">SUM(W208:Z208)</f>
        <v>108000</v>
      </c>
      <c r="AE208" s="9">
        <v>0</v>
      </c>
      <c r="AF208" s="9">
        <f t="shared" si="363"/>
        <v>0</v>
      </c>
      <c r="AG208" s="9"/>
      <c r="AH208" s="9"/>
      <c r="AI208" s="9"/>
      <c r="AJ208" s="9"/>
      <c r="AK208" s="9"/>
      <c r="AL208" s="9"/>
      <c r="AM208" s="9">
        <v>15000</v>
      </c>
      <c r="AN208" s="9"/>
      <c r="AO208" s="66">
        <f t="shared" si="330"/>
        <v>15000</v>
      </c>
      <c r="AP208" s="66">
        <f t="shared" si="331"/>
        <v>0</v>
      </c>
      <c r="AQ208" s="66">
        <f t="shared" si="332"/>
        <v>15000</v>
      </c>
      <c r="AR208" s="9"/>
      <c r="AS208" s="9"/>
      <c r="AT208" s="9"/>
      <c r="AU208" s="9"/>
      <c r="AV208" s="9"/>
      <c r="AW208" s="9">
        <f t="shared" si="333"/>
        <v>15000</v>
      </c>
      <c r="AX208" s="10"/>
      <c r="AY208" s="5">
        <v>261001</v>
      </c>
      <c r="AZ208" s="5">
        <f t="shared" si="276"/>
        <v>-246001</v>
      </c>
    </row>
    <row r="209" spans="1:53" s="4" customFormat="1" ht="57.75" customHeight="1">
      <c r="A209" s="132"/>
      <c r="B209" s="133"/>
      <c r="C209" s="134"/>
      <c r="D209" s="25" t="s">
        <v>22</v>
      </c>
      <c r="E209" s="25">
        <v>550113</v>
      </c>
      <c r="F209" s="37" t="s">
        <v>43</v>
      </c>
      <c r="G209" s="25">
        <v>318948</v>
      </c>
      <c r="H209" s="26"/>
      <c r="I209" s="26"/>
      <c r="J209" s="26"/>
      <c r="K209" s="26"/>
      <c r="L209" s="26"/>
      <c r="M209" s="26">
        <f t="shared" si="366"/>
        <v>0</v>
      </c>
      <c r="N209" s="26"/>
      <c r="O209" s="26">
        <f t="shared" si="367"/>
        <v>0</v>
      </c>
      <c r="P209" s="26"/>
      <c r="Q209" s="26"/>
      <c r="R209" s="26"/>
      <c r="S209" s="26"/>
      <c r="T209" s="26">
        <f t="shared" si="368"/>
        <v>0</v>
      </c>
      <c r="U209" s="26"/>
      <c r="V209" s="26">
        <f t="shared" si="369"/>
        <v>0</v>
      </c>
      <c r="W209" s="26">
        <f>107312.89+687.11</f>
        <v>108000</v>
      </c>
      <c r="X209" s="26"/>
      <c r="Y209" s="26"/>
      <c r="Z209" s="26"/>
      <c r="AA209" s="26"/>
      <c r="AB209" s="26"/>
      <c r="AC209" s="26"/>
      <c r="AD209" s="67">
        <f t="shared" si="370"/>
        <v>108000</v>
      </c>
      <c r="AE209" s="26">
        <v>0</v>
      </c>
      <c r="AF209" s="26">
        <f t="shared" si="363"/>
        <v>0</v>
      </c>
      <c r="AG209" s="26"/>
      <c r="AH209" s="26"/>
      <c r="AI209" s="26"/>
      <c r="AJ209" s="26"/>
      <c r="AK209" s="26"/>
      <c r="AL209" s="26"/>
      <c r="AM209" s="26">
        <v>15000</v>
      </c>
      <c r="AN209" s="26"/>
      <c r="AO209" s="67">
        <f t="shared" si="330"/>
        <v>15000</v>
      </c>
      <c r="AP209" s="67">
        <f t="shared" si="331"/>
        <v>0</v>
      </c>
      <c r="AQ209" s="67">
        <f t="shared" si="332"/>
        <v>15000</v>
      </c>
      <c r="AR209" s="26"/>
      <c r="AS209" s="26"/>
      <c r="AT209" s="26"/>
      <c r="AU209" s="26"/>
      <c r="AV209" s="26"/>
      <c r="AW209" s="26">
        <f t="shared" si="333"/>
        <v>15000</v>
      </c>
      <c r="AX209" s="14"/>
      <c r="AY209" s="4">
        <v>261001</v>
      </c>
      <c r="AZ209" s="4">
        <f t="shared" si="276"/>
        <v>-246001</v>
      </c>
    </row>
    <row r="210" spans="1:53" s="5" customFormat="1" ht="57.75" customHeight="1">
      <c r="A210" s="132" t="s">
        <v>332</v>
      </c>
      <c r="B210" s="133" t="s">
        <v>49</v>
      </c>
      <c r="C210" s="134">
        <v>70</v>
      </c>
      <c r="D210" s="7" t="s">
        <v>21</v>
      </c>
      <c r="E210" s="36"/>
      <c r="F210" s="7" t="s">
        <v>19</v>
      </c>
      <c r="G210" s="7">
        <v>318735</v>
      </c>
      <c r="H210" s="9"/>
      <c r="I210" s="9">
        <v>323000</v>
      </c>
      <c r="J210" s="9"/>
      <c r="K210" s="9"/>
      <c r="L210" s="9"/>
      <c r="M210" s="9">
        <f t="shared" ref="M210:M213" si="371">SUM(I210:L210)</f>
        <v>323000</v>
      </c>
      <c r="N210" s="9"/>
      <c r="O210" s="9">
        <f t="shared" si="367"/>
        <v>0</v>
      </c>
      <c r="P210" s="9">
        <f>322645+355</f>
        <v>323000</v>
      </c>
      <c r="Q210" s="9"/>
      <c r="R210" s="9"/>
      <c r="S210" s="9"/>
      <c r="T210" s="9">
        <f t="shared" ref="T210:T213" si="372">SUM(P210:S210)</f>
        <v>323000</v>
      </c>
      <c r="U210" s="9">
        <v>0</v>
      </c>
      <c r="V210" s="9">
        <f t="shared" si="369"/>
        <v>0</v>
      </c>
      <c r="W210" s="9">
        <v>323000</v>
      </c>
      <c r="X210" s="9"/>
      <c r="Y210" s="9"/>
      <c r="Z210" s="9"/>
      <c r="AA210" s="9"/>
      <c r="AB210" s="9"/>
      <c r="AC210" s="9"/>
      <c r="AD210" s="66">
        <f t="shared" ref="AD210:AD213" si="373">SUM(W210:Z210)</f>
        <v>323000</v>
      </c>
      <c r="AE210" s="9">
        <v>0</v>
      </c>
      <c r="AF210" s="9">
        <f t="shared" si="363"/>
        <v>0</v>
      </c>
      <c r="AG210" s="9"/>
      <c r="AH210" s="9"/>
      <c r="AI210" s="9"/>
      <c r="AJ210" s="9"/>
      <c r="AK210" s="9"/>
      <c r="AL210" s="9"/>
      <c r="AM210" s="9">
        <v>250000</v>
      </c>
      <c r="AN210" s="9"/>
      <c r="AO210" s="66">
        <f t="shared" si="330"/>
        <v>250000</v>
      </c>
      <c r="AP210" s="66">
        <f t="shared" si="331"/>
        <v>0</v>
      </c>
      <c r="AQ210" s="66">
        <f t="shared" si="332"/>
        <v>250000</v>
      </c>
      <c r="AR210" s="9"/>
      <c r="AS210" s="9"/>
      <c r="AT210" s="9"/>
      <c r="AU210" s="9"/>
      <c r="AV210" s="9"/>
      <c r="AW210" s="9">
        <f t="shared" si="333"/>
        <v>250000</v>
      </c>
      <c r="AX210" s="10" t="s">
        <v>50</v>
      </c>
      <c r="AY210" s="5">
        <v>322645</v>
      </c>
      <c r="AZ210" s="5">
        <f t="shared" si="276"/>
        <v>-72645</v>
      </c>
    </row>
    <row r="211" spans="1:53" s="4" customFormat="1" ht="57.75" customHeight="1">
      <c r="A211" s="132"/>
      <c r="B211" s="133"/>
      <c r="C211" s="134"/>
      <c r="D211" s="25" t="s">
        <v>22</v>
      </c>
      <c r="E211" s="25">
        <v>550113</v>
      </c>
      <c r="F211" s="37" t="s">
        <v>43</v>
      </c>
      <c r="G211" s="25">
        <v>318735</v>
      </c>
      <c r="H211" s="26"/>
      <c r="I211" s="26">
        <v>323000</v>
      </c>
      <c r="J211" s="26"/>
      <c r="K211" s="26"/>
      <c r="L211" s="26"/>
      <c r="M211" s="26">
        <f t="shared" si="371"/>
        <v>323000</v>
      </c>
      <c r="N211" s="26"/>
      <c r="O211" s="26">
        <f t="shared" si="367"/>
        <v>0</v>
      </c>
      <c r="P211" s="26">
        <v>323000</v>
      </c>
      <c r="Q211" s="26"/>
      <c r="R211" s="26"/>
      <c r="S211" s="26"/>
      <c r="T211" s="26">
        <f t="shared" si="372"/>
        <v>323000</v>
      </c>
      <c r="U211" s="26">
        <v>0</v>
      </c>
      <c r="V211" s="26">
        <f t="shared" si="369"/>
        <v>0</v>
      </c>
      <c r="W211" s="26">
        <f>322645+355</f>
        <v>323000</v>
      </c>
      <c r="X211" s="26"/>
      <c r="Y211" s="26"/>
      <c r="Z211" s="26"/>
      <c r="AA211" s="26"/>
      <c r="AB211" s="26"/>
      <c r="AC211" s="26"/>
      <c r="AD211" s="67">
        <f t="shared" si="373"/>
        <v>323000</v>
      </c>
      <c r="AE211" s="26">
        <v>0</v>
      </c>
      <c r="AF211" s="26">
        <f t="shared" si="363"/>
        <v>0</v>
      </c>
      <c r="AG211" s="26"/>
      <c r="AH211" s="26"/>
      <c r="AI211" s="26"/>
      <c r="AJ211" s="26"/>
      <c r="AK211" s="26"/>
      <c r="AL211" s="26"/>
      <c r="AM211" s="26">
        <v>250000</v>
      </c>
      <c r="AN211" s="26"/>
      <c r="AO211" s="67">
        <f t="shared" si="330"/>
        <v>250000</v>
      </c>
      <c r="AP211" s="67">
        <f t="shared" si="331"/>
        <v>0</v>
      </c>
      <c r="AQ211" s="67">
        <f t="shared" si="332"/>
        <v>250000</v>
      </c>
      <c r="AR211" s="26"/>
      <c r="AS211" s="26"/>
      <c r="AT211" s="26"/>
      <c r="AU211" s="26"/>
      <c r="AV211" s="26"/>
      <c r="AW211" s="26">
        <f t="shared" si="333"/>
        <v>250000</v>
      </c>
      <c r="AX211" s="14" t="s">
        <v>50</v>
      </c>
      <c r="AY211" s="4">
        <v>322645</v>
      </c>
      <c r="AZ211" s="4">
        <f t="shared" si="276"/>
        <v>-72645</v>
      </c>
    </row>
    <row r="212" spans="1:53" s="5" customFormat="1" ht="68.25" customHeight="1">
      <c r="A212" s="132" t="s">
        <v>333</v>
      </c>
      <c r="B212" s="133" t="s">
        <v>49</v>
      </c>
      <c r="C212" s="134">
        <v>70</v>
      </c>
      <c r="D212" s="7" t="s">
        <v>21</v>
      </c>
      <c r="E212" s="36"/>
      <c r="F212" s="7" t="s">
        <v>19</v>
      </c>
      <c r="G212" s="7">
        <v>157915</v>
      </c>
      <c r="H212" s="9"/>
      <c r="I212" s="9"/>
      <c r="J212" s="9"/>
      <c r="K212" s="9">
        <v>1113000</v>
      </c>
      <c r="L212" s="9"/>
      <c r="M212" s="9">
        <f t="shared" si="371"/>
        <v>1113000</v>
      </c>
      <c r="N212" s="9"/>
      <c r="O212" s="9">
        <f>H212+N212</f>
        <v>0</v>
      </c>
      <c r="P212" s="9">
        <f>1093000+20000</f>
        <v>1113000</v>
      </c>
      <c r="Q212" s="9"/>
      <c r="R212" s="9"/>
      <c r="S212" s="9"/>
      <c r="T212" s="9">
        <f t="shared" si="372"/>
        <v>1113000</v>
      </c>
      <c r="U212" s="9">
        <v>0</v>
      </c>
      <c r="V212" s="9">
        <f t="shared" si="369"/>
        <v>0</v>
      </c>
      <c r="W212" s="9">
        <v>1113000</v>
      </c>
      <c r="X212" s="9"/>
      <c r="Y212" s="9"/>
      <c r="Z212" s="9"/>
      <c r="AA212" s="9"/>
      <c r="AB212" s="9"/>
      <c r="AC212" s="9"/>
      <c r="AD212" s="66">
        <f t="shared" si="373"/>
        <v>1113000</v>
      </c>
      <c r="AE212" s="9">
        <v>0</v>
      </c>
      <c r="AF212" s="9">
        <f t="shared" si="363"/>
        <v>0</v>
      </c>
      <c r="AG212" s="9"/>
      <c r="AH212" s="9"/>
      <c r="AI212" s="9"/>
      <c r="AJ212" s="9"/>
      <c r="AK212" s="9"/>
      <c r="AL212" s="9"/>
      <c r="AM212" s="9">
        <v>791000</v>
      </c>
      <c r="AN212" s="9"/>
      <c r="AO212" s="66">
        <f t="shared" si="330"/>
        <v>791000</v>
      </c>
      <c r="AP212" s="66">
        <f t="shared" si="331"/>
        <v>0</v>
      </c>
      <c r="AQ212" s="66">
        <f t="shared" si="332"/>
        <v>791000</v>
      </c>
      <c r="AR212" s="9"/>
      <c r="AS212" s="9"/>
      <c r="AT212" s="9"/>
      <c r="AU212" s="9"/>
      <c r="AV212" s="9"/>
      <c r="AW212" s="9">
        <f t="shared" si="333"/>
        <v>791000</v>
      </c>
      <c r="AX212" s="10" t="s">
        <v>50</v>
      </c>
      <c r="AY212" s="5">
        <v>1112309</v>
      </c>
      <c r="AZ212" s="5">
        <f t="shared" si="276"/>
        <v>-321309</v>
      </c>
    </row>
    <row r="213" spans="1:53" s="4" customFormat="1" ht="68.25" customHeight="1">
      <c r="A213" s="132"/>
      <c r="B213" s="133"/>
      <c r="C213" s="134"/>
      <c r="D213" s="25" t="s">
        <v>22</v>
      </c>
      <c r="E213" s="25">
        <v>550113</v>
      </c>
      <c r="F213" s="37" t="s">
        <v>43</v>
      </c>
      <c r="G213" s="25">
        <v>157915</v>
      </c>
      <c r="H213" s="26"/>
      <c r="I213" s="26"/>
      <c r="J213" s="26"/>
      <c r="K213" s="26">
        <v>1113000</v>
      </c>
      <c r="L213" s="26"/>
      <c r="M213" s="26">
        <f t="shared" si="371"/>
        <v>1113000</v>
      </c>
      <c r="N213" s="26"/>
      <c r="O213" s="26">
        <f>H213+N213</f>
        <v>0</v>
      </c>
      <c r="P213" s="26">
        <f>1093000+20000</f>
        <v>1113000</v>
      </c>
      <c r="Q213" s="26"/>
      <c r="R213" s="26"/>
      <c r="S213" s="26"/>
      <c r="T213" s="26">
        <f t="shared" si="372"/>
        <v>1113000</v>
      </c>
      <c r="U213" s="26">
        <v>0</v>
      </c>
      <c r="V213" s="26">
        <f t="shared" si="369"/>
        <v>0</v>
      </c>
      <c r="W213" s="26">
        <f>1112523+477</f>
        <v>1113000</v>
      </c>
      <c r="X213" s="26"/>
      <c r="Y213" s="26"/>
      <c r="Z213" s="26"/>
      <c r="AA213" s="26"/>
      <c r="AB213" s="26"/>
      <c r="AC213" s="26"/>
      <c r="AD213" s="67">
        <f t="shared" si="373"/>
        <v>1113000</v>
      </c>
      <c r="AE213" s="26">
        <v>0</v>
      </c>
      <c r="AF213" s="26">
        <f t="shared" si="363"/>
        <v>0</v>
      </c>
      <c r="AG213" s="26"/>
      <c r="AH213" s="26"/>
      <c r="AI213" s="26"/>
      <c r="AJ213" s="26"/>
      <c r="AK213" s="26"/>
      <c r="AL213" s="26"/>
      <c r="AM213" s="26">
        <v>791000</v>
      </c>
      <c r="AN213" s="26"/>
      <c r="AO213" s="67">
        <f t="shared" si="330"/>
        <v>791000</v>
      </c>
      <c r="AP213" s="67">
        <f t="shared" si="331"/>
        <v>0</v>
      </c>
      <c r="AQ213" s="67">
        <f t="shared" si="332"/>
        <v>791000</v>
      </c>
      <c r="AR213" s="26"/>
      <c r="AS213" s="26"/>
      <c r="AT213" s="26"/>
      <c r="AU213" s="26"/>
      <c r="AV213" s="26"/>
      <c r="AW213" s="26">
        <f t="shared" si="333"/>
        <v>791000</v>
      </c>
      <c r="AX213" s="14" t="s">
        <v>50</v>
      </c>
      <c r="AY213" s="4">
        <v>1112309</v>
      </c>
      <c r="AZ213" s="4">
        <f t="shared" si="276"/>
        <v>-321309</v>
      </c>
    </row>
    <row r="214" spans="1:53" s="23" customFormat="1">
      <c r="A214" s="116" t="s">
        <v>334</v>
      </c>
      <c r="B214" s="111" t="s">
        <v>23</v>
      </c>
      <c r="C214" s="138">
        <v>84</v>
      </c>
      <c r="D214" s="7" t="s">
        <v>21</v>
      </c>
      <c r="E214" s="7" t="s">
        <v>148</v>
      </c>
      <c r="F214" s="8" t="s">
        <v>147</v>
      </c>
      <c r="G214" s="7">
        <v>323200</v>
      </c>
      <c r="H214" s="9"/>
      <c r="I214" s="9"/>
      <c r="J214" s="9"/>
      <c r="K214" s="9"/>
      <c r="L214" s="9"/>
      <c r="M214" s="9">
        <f t="shared" ref="M214:M216" si="374">SUM(I214:L214)</f>
        <v>0</v>
      </c>
      <c r="N214" s="9"/>
      <c r="O214" s="9">
        <f t="shared" ref="O214:O216" si="375">H214+N214</f>
        <v>0</v>
      </c>
      <c r="P214" s="9"/>
      <c r="Q214" s="9"/>
      <c r="R214" s="9"/>
      <c r="S214" s="9"/>
      <c r="T214" s="9">
        <f t="shared" ref="T214:T216" si="376">SUM(P214:S214)</f>
        <v>0</v>
      </c>
      <c r="U214" s="9"/>
      <c r="V214" s="9">
        <f t="shared" ref="V214:V216" si="377">O214+U214</f>
        <v>0</v>
      </c>
      <c r="W214" s="9"/>
      <c r="X214" s="9"/>
      <c r="Y214" s="9"/>
      <c r="Z214" s="9"/>
      <c r="AA214" s="9"/>
      <c r="AB214" s="9">
        <f>W214+X214+Y214+Z214</f>
        <v>0</v>
      </c>
      <c r="AC214" s="9">
        <f>AA214</f>
        <v>0</v>
      </c>
      <c r="AD214" s="66">
        <f>AB214+AC214</f>
        <v>0</v>
      </c>
      <c r="AE214" s="9"/>
      <c r="AF214" s="9">
        <f t="shared" si="363"/>
        <v>0</v>
      </c>
      <c r="AG214" s="9"/>
      <c r="AH214" s="9"/>
      <c r="AI214" s="9"/>
      <c r="AJ214" s="9"/>
      <c r="AK214" s="9"/>
      <c r="AL214" s="9"/>
      <c r="AM214" s="9"/>
      <c r="AN214" s="9"/>
      <c r="AO214" s="66">
        <f t="shared" si="330"/>
        <v>0</v>
      </c>
      <c r="AP214" s="66">
        <f t="shared" si="331"/>
        <v>0</v>
      </c>
      <c r="AQ214" s="66">
        <f t="shared" si="332"/>
        <v>0</v>
      </c>
      <c r="AR214" s="9"/>
      <c r="AS214" s="9"/>
      <c r="AT214" s="9"/>
      <c r="AU214" s="9"/>
      <c r="AV214" s="9"/>
      <c r="AW214" s="9">
        <f t="shared" si="333"/>
        <v>0</v>
      </c>
      <c r="AX214" s="10" t="s">
        <v>147</v>
      </c>
      <c r="AY214" s="23">
        <v>19136720.649999999</v>
      </c>
      <c r="AZ214" s="23">
        <f t="shared" si="276"/>
        <v>-19136720.649999999</v>
      </c>
    </row>
    <row r="215" spans="1:53" s="23" customFormat="1">
      <c r="A215" s="127"/>
      <c r="B215" s="124"/>
      <c r="C215" s="146"/>
      <c r="D215" s="7" t="s">
        <v>21</v>
      </c>
      <c r="E215" s="7">
        <v>45024803</v>
      </c>
      <c r="F215" s="8" t="s">
        <v>36</v>
      </c>
      <c r="G215" s="7">
        <v>323200</v>
      </c>
      <c r="H215" s="9"/>
      <c r="I215" s="9"/>
      <c r="J215" s="9"/>
      <c r="K215" s="9"/>
      <c r="L215" s="9"/>
      <c r="M215" s="9">
        <f t="shared" si="374"/>
        <v>0</v>
      </c>
      <c r="N215" s="9"/>
      <c r="O215" s="9">
        <f t="shared" si="375"/>
        <v>0</v>
      </c>
      <c r="P215" s="9"/>
      <c r="Q215" s="9"/>
      <c r="R215" s="9"/>
      <c r="S215" s="9"/>
      <c r="T215" s="9">
        <f t="shared" si="376"/>
        <v>0</v>
      </c>
      <c r="U215" s="9"/>
      <c r="V215" s="9">
        <f t="shared" si="377"/>
        <v>0</v>
      </c>
      <c r="W215" s="9"/>
      <c r="X215" s="9"/>
      <c r="Y215" s="9">
        <f>20575833.27+166.730000000447</f>
        <v>20576000</v>
      </c>
      <c r="Z215" s="9"/>
      <c r="AA215" s="9"/>
      <c r="AB215" s="9">
        <f t="shared" ref="AB215:AB216" si="378">W215+X215+Y215+Z215</f>
        <v>20576000</v>
      </c>
      <c r="AC215" s="9">
        <f t="shared" ref="AC215:AC216" si="379">AA215</f>
        <v>0</v>
      </c>
      <c r="AD215" s="66">
        <f t="shared" ref="AD215:AD217" si="380">AB215+AC215</f>
        <v>20576000</v>
      </c>
      <c r="AE215" s="9"/>
      <c r="AF215" s="9">
        <f t="shared" si="363"/>
        <v>0</v>
      </c>
      <c r="AG215" s="9"/>
      <c r="AH215" s="9"/>
      <c r="AI215" s="9">
        <f>20575833.27-833.27</f>
        <v>20575000</v>
      </c>
      <c r="AJ215" s="9"/>
      <c r="AK215" s="9">
        <f>38634886.81+833.27-720.080000005662</f>
        <v>38635000</v>
      </c>
      <c r="AL215" s="9"/>
      <c r="AM215" s="9">
        <f>20575833.27+720.080000005662-553.350000005215-12141000</f>
        <v>8435000</v>
      </c>
      <c r="AN215" s="9"/>
      <c r="AO215" s="66">
        <f>AG215+AI215+AK215+AM215</f>
        <v>67645000</v>
      </c>
      <c r="AP215" s="66">
        <f t="shared" si="331"/>
        <v>0</v>
      </c>
      <c r="AQ215" s="66">
        <f t="shared" si="332"/>
        <v>67645000</v>
      </c>
      <c r="AR215" s="9">
        <f>79339011.38+553.350000005215+12141000</f>
        <v>91480564.730000004</v>
      </c>
      <c r="AS215" s="9">
        <v>22922052.170000002</v>
      </c>
      <c r="AT215" s="9"/>
      <c r="AU215" s="9"/>
      <c r="AV215" s="9"/>
      <c r="AW215" s="9">
        <f t="shared" si="333"/>
        <v>182047616.90000004</v>
      </c>
      <c r="AX215" s="10" t="s">
        <v>147</v>
      </c>
      <c r="AY215" s="23">
        <v>179579652.84999999</v>
      </c>
      <c r="AZ215" s="23">
        <f t="shared" si="276"/>
        <v>2467964.0500000417</v>
      </c>
    </row>
    <row r="216" spans="1:53" s="23" customFormat="1" ht="138.75" customHeight="1">
      <c r="A216" s="127"/>
      <c r="B216" s="124"/>
      <c r="C216" s="146"/>
      <c r="D216" s="7" t="s">
        <v>21</v>
      </c>
      <c r="E216" s="7">
        <v>42029303</v>
      </c>
      <c r="F216" s="8" t="s">
        <v>146</v>
      </c>
      <c r="G216" s="7">
        <v>323200</v>
      </c>
      <c r="H216" s="9"/>
      <c r="I216" s="9"/>
      <c r="J216" s="9"/>
      <c r="K216" s="9"/>
      <c r="L216" s="9"/>
      <c r="M216" s="9">
        <f t="shared" si="374"/>
        <v>0</v>
      </c>
      <c r="N216" s="9"/>
      <c r="O216" s="9">
        <f t="shared" si="375"/>
        <v>0</v>
      </c>
      <c r="P216" s="9"/>
      <c r="Q216" s="9"/>
      <c r="R216" s="9"/>
      <c r="S216" s="9"/>
      <c r="T216" s="9">
        <f t="shared" si="376"/>
        <v>0</v>
      </c>
      <c r="U216" s="9"/>
      <c r="V216" s="9">
        <f t="shared" si="377"/>
        <v>0</v>
      </c>
      <c r="W216" s="9"/>
      <c r="X216" s="9"/>
      <c r="Y216" s="9"/>
      <c r="Z216" s="9"/>
      <c r="AA216" s="9"/>
      <c r="AB216" s="9">
        <f t="shared" si="378"/>
        <v>0</v>
      </c>
      <c r="AC216" s="9">
        <f t="shared" si="379"/>
        <v>0</v>
      </c>
      <c r="AD216" s="66">
        <f t="shared" si="380"/>
        <v>0</v>
      </c>
      <c r="AE216" s="9"/>
      <c r="AF216" s="9">
        <f t="shared" si="363"/>
        <v>0</v>
      </c>
      <c r="AG216" s="9"/>
      <c r="AH216" s="9"/>
      <c r="AI216" s="9"/>
      <c r="AJ216" s="9"/>
      <c r="AK216" s="9">
        <f>1438556.2-556.199999999953</f>
        <v>1438000</v>
      </c>
      <c r="AL216" s="9"/>
      <c r="AM216" s="9">
        <f>7279990.27+556.199999999953-546.469999999739</f>
        <v>7280000</v>
      </c>
      <c r="AN216" s="9"/>
      <c r="AO216" s="66">
        <f t="shared" si="330"/>
        <v>8718000</v>
      </c>
      <c r="AP216" s="66">
        <f t="shared" si="331"/>
        <v>0</v>
      </c>
      <c r="AQ216" s="66">
        <f t="shared" si="332"/>
        <v>8718000</v>
      </c>
      <c r="AR216" s="9">
        <f>10703977.08+546.469999999739</f>
        <v>10704523.550000001</v>
      </c>
      <c r="AS216" s="9">
        <v>134085.65</v>
      </c>
      <c r="AT216" s="9"/>
      <c r="AU216" s="9"/>
      <c r="AV216" s="9"/>
      <c r="AW216" s="9">
        <f t="shared" si="333"/>
        <v>19556609.199999999</v>
      </c>
      <c r="AX216" s="10" t="s">
        <v>147</v>
      </c>
      <c r="AY216" s="23">
        <v>2926792.57</v>
      </c>
      <c r="AZ216" s="23">
        <f t="shared" si="276"/>
        <v>16629816.629999999</v>
      </c>
    </row>
    <row r="217" spans="1:53" s="23" customFormat="1" ht="50.25" customHeight="1">
      <c r="A217" s="127"/>
      <c r="B217" s="124"/>
      <c r="C217" s="146"/>
      <c r="D217" s="7"/>
      <c r="E217" s="7"/>
      <c r="F217" s="8" t="s">
        <v>236</v>
      </c>
      <c r="G217" s="7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>
        <v>13457000</v>
      </c>
      <c r="AD217" s="66">
        <f t="shared" si="380"/>
        <v>13457000</v>
      </c>
      <c r="AE217" s="9"/>
      <c r="AF217" s="9">
        <f t="shared" si="363"/>
        <v>0</v>
      </c>
      <c r="AG217" s="9"/>
      <c r="AH217" s="9">
        <f>AH225-AH214-AH215-AH216</f>
        <v>485000</v>
      </c>
      <c r="AI217" s="9"/>
      <c r="AJ217" s="9">
        <f>AJ225-AJ214-AJ215-AJ216</f>
        <v>3655000</v>
      </c>
      <c r="AK217" s="9"/>
      <c r="AL217" s="9">
        <f>AL225-AL214-AL215-AL216</f>
        <v>9894000</v>
      </c>
      <c r="AM217" s="9"/>
      <c r="AN217" s="9">
        <f>AN225-AN214-AN215-AN216</f>
        <v>8466000</v>
      </c>
      <c r="AO217" s="66">
        <f t="shared" si="330"/>
        <v>0</v>
      </c>
      <c r="AP217" s="66">
        <f t="shared" si="331"/>
        <v>22500000</v>
      </c>
      <c r="AQ217" s="66">
        <f t="shared" si="332"/>
        <v>22500000</v>
      </c>
      <c r="AR217" s="9"/>
      <c r="AS217" s="9"/>
      <c r="AT217" s="9"/>
      <c r="AU217" s="9"/>
      <c r="AV217" s="9"/>
      <c r="AW217" s="9">
        <f t="shared" si="333"/>
        <v>22500000</v>
      </c>
      <c r="AX217" s="10" t="s">
        <v>147</v>
      </c>
    </row>
    <row r="218" spans="1:53" s="23" customFormat="1">
      <c r="A218" s="127"/>
      <c r="B218" s="124"/>
      <c r="C218" s="146"/>
      <c r="D218" s="7" t="s">
        <v>21</v>
      </c>
      <c r="E218" s="36"/>
      <c r="F218" s="7" t="s">
        <v>19</v>
      </c>
      <c r="G218" s="7">
        <v>323200</v>
      </c>
      <c r="H218" s="9">
        <f>H225-H214-H215-H216</f>
        <v>113508.57</v>
      </c>
      <c r="I218" s="9">
        <f t="shared" ref="I218:L218" si="381">I225-I214-I215-I216</f>
        <v>0</v>
      </c>
      <c r="J218" s="9">
        <f t="shared" si="381"/>
        <v>0</v>
      </c>
      <c r="K218" s="9">
        <f t="shared" si="381"/>
        <v>0</v>
      </c>
      <c r="L218" s="9">
        <f t="shared" si="381"/>
        <v>0</v>
      </c>
      <c r="M218" s="9">
        <f>M225-M214-M215-M216</f>
        <v>0</v>
      </c>
      <c r="N218" s="9">
        <f>N225-N214-N215-N216</f>
        <v>687736.43</v>
      </c>
      <c r="O218" s="9">
        <f t="shared" ref="O218:S218" si="382">O225-O214-O215-O216</f>
        <v>801245</v>
      </c>
      <c r="P218" s="9">
        <f t="shared" si="382"/>
        <v>0</v>
      </c>
      <c r="Q218" s="9">
        <f t="shared" si="382"/>
        <v>0</v>
      </c>
      <c r="R218" s="9">
        <f t="shared" si="382"/>
        <v>0</v>
      </c>
      <c r="S218" s="9">
        <f t="shared" si="382"/>
        <v>0</v>
      </c>
      <c r="T218" s="9">
        <f>T225-T214-T215-T216</f>
        <v>0</v>
      </c>
      <c r="U218" s="9">
        <f t="shared" ref="U218" si="383">U225-U214-U215-U216</f>
        <v>5305.85</v>
      </c>
      <c r="V218" s="9">
        <f>V225-V214-V215-V216-V217</f>
        <v>806550.85</v>
      </c>
      <c r="W218" s="9">
        <f t="shared" ref="W218:AC218" si="384">W225-W214-W215-W216-W217</f>
        <v>0</v>
      </c>
      <c r="X218" s="9">
        <f t="shared" si="384"/>
        <v>0</v>
      </c>
      <c r="Y218" s="9">
        <f t="shared" si="384"/>
        <v>-17811000</v>
      </c>
      <c r="Z218" s="9">
        <f t="shared" si="384"/>
        <v>15664000</v>
      </c>
      <c r="AA218" s="9">
        <f t="shared" si="384"/>
        <v>13457000</v>
      </c>
      <c r="AB218" s="9">
        <f t="shared" si="384"/>
        <v>-2147000</v>
      </c>
      <c r="AC218" s="9">
        <f t="shared" si="384"/>
        <v>0</v>
      </c>
      <c r="AD218" s="66">
        <f>AD225-AD214-AD215-AD216-AD217</f>
        <v>-2147000</v>
      </c>
      <c r="AE218" s="9">
        <f t="shared" ref="AE218:AF218" si="385">AE225-AE214-AE215-AE216-AE217</f>
        <v>0</v>
      </c>
      <c r="AF218" s="9">
        <f t="shared" si="385"/>
        <v>806550.85</v>
      </c>
      <c r="AG218" s="9">
        <f t="shared" ref="AG218:AW218" si="386">AG225-AG214-AG215-AG216-AG217</f>
        <v>0</v>
      </c>
      <c r="AH218" s="9">
        <f>AH225-AH214-AH215-AH216-AH217</f>
        <v>0</v>
      </c>
      <c r="AI218" s="9">
        <f t="shared" si="386"/>
        <v>-2989000</v>
      </c>
      <c r="AJ218" s="9">
        <f t="shared" si="386"/>
        <v>0</v>
      </c>
      <c r="AK218" s="9">
        <f t="shared" si="386"/>
        <v>3956000</v>
      </c>
      <c r="AL218" s="9">
        <f t="shared" si="386"/>
        <v>0</v>
      </c>
      <c r="AM218" s="9">
        <f t="shared" si="386"/>
        <v>-967000</v>
      </c>
      <c r="AN218" s="9">
        <f t="shared" si="386"/>
        <v>0</v>
      </c>
      <c r="AO218" s="66">
        <f t="shared" si="386"/>
        <v>0</v>
      </c>
      <c r="AP218" s="66">
        <f t="shared" si="386"/>
        <v>0</v>
      </c>
      <c r="AQ218" s="66">
        <f t="shared" si="386"/>
        <v>0</v>
      </c>
      <c r="AR218" s="9">
        <f t="shared" si="386"/>
        <v>-4545775.5999999978</v>
      </c>
      <c r="AS218" s="9">
        <f t="shared" si="386"/>
        <v>4737866.7799999993</v>
      </c>
      <c r="AT218" s="9">
        <f t="shared" si="386"/>
        <v>13244.89</v>
      </c>
      <c r="AU218" s="9">
        <f t="shared" si="386"/>
        <v>13244.89</v>
      </c>
      <c r="AV218" s="9">
        <f t="shared" si="386"/>
        <v>13244.89</v>
      </c>
      <c r="AW218" s="9">
        <f t="shared" si="386"/>
        <v>1038376.6999999769</v>
      </c>
      <c r="AX218" s="10" t="s">
        <v>147</v>
      </c>
      <c r="AY218" s="23">
        <v>23499436.719999962</v>
      </c>
      <c r="AZ218" s="23">
        <f t="shared" si="276"/>
        <v>-22461060.019999985</v>
      </c>
    </row>
    <row r="219" spans="1:53" s="5" customFormat="1" ht="14.45" customHeight="1">
      <c r="A219" s="127"/>
      <c r="B219" s="124"/>
      <c r="C219" s="146"/>
      <c r="D219" s="7" t="s">
        <v>21</v>
      </c>
      <c r="E219" s="7"/>
      <c r="F219" s="8" t="s">
        <v>34</v>
      </c>
      <c r="G219" s="7">
        <v>323200</v>
      </c>
      <c r="H219" s="9">
        <f t="shared" ref="H219:S219" si="387">SUM(H214:H218)</f>
        <v>113508.57</v>
      </c>
      <c r="I219" s="9">
        <f t="shared" si="387"/>
        <v>0</v>
      </c>
      <c r="J219" s="9">
        <f t="shared" si="387"/>
        <v>0</v>
      </c>
      <c r="K219" s="9">
        <f t="shared" si="387"/>
        <v>0</v>
      </c>
      <c r="L219" s="9">
        <f t="shared" si="387"/>
        <v>0</v>
      </c>
      <c r="M219" s="9">
        <f t="shared" si="387"/>
        <v>0</v>
      </c>
      <c r="N219" s="9">
        <f t="shared" si="387"/>
        <v>687736.43</v>
      </c>
      <c r="O219" s="9">
        <f t="shared" si="387"/>
        <v>801245</v>
      </c>
      <c r="P219" s="9">
        <f t="shared" si="387"/>
        <v>0</v>
      </c>
      <c r="Q219" s="9">
        <f t="shared" si="387"/>
        <v>0</v>
      </c>
      <c r="R219" s="9">
        <f t="shared" si="387"/>
        <v>0</v>
      </c>
      <c r="S219" s="9">
        <f t="shared" si="387"/>
        <v>0</v>
      </c>
      <c r="T219" s="9">
        <f>SUM(T214:T218)</f>
        <v>0</v>
      </c>
      <c r="U219" s="9">
        <f t="shared" ref="U219:AD219" si="388">SUM(U214:U218)</f>
        <v>5305.85</v>
      </c>
      <c r="V219" s="9">
        <f t="shared" si="388"/>
        <v>806550.85</v>
      </c>
      <c r="W219" s="9">
        <f t="shared" si="388"/>
        <v>0</v>
      </c>
      <c r="X219" s="9">
        <f t="shared" si="388"/>
        <v>0</v>
      </c>
      <c r="Y219" s="9">
        <f t="shared" si="388"/>
        <v>2765000</v>
      </c>
      <c r="Z219" s="9">
        <f t="shared" si="388"/>
        <v>15664000</v>
      </c>
      <c r="AA219" s="9">
        <f t="shared" ref="AA219:AC219" si="389">SUM(AA214:AA218)</f>
        <v>13457000</v>
      </c>
      <c r="AB219" s="9">
        <f t="shared" si="389"/>
        <v>18429000</v>
      </c>
      <c r="AC219" s="9">
        <f t="shared" si="389"/>
        <v>13457000</v>
      </c>
      <c r="AD219" s="66">
        <f t="shared" si="388"/>
        <v>31886000</v>
      </c>
      <c r="AE219" s="9">
        <f t="shared" ref="AE219:AF219" si="390">SUM(AE214:AE218)</f>
        <v>0</v>
      </c>
      <c r="AF219" s="9">
        <f t="shared" si="390"/>
        <v>806550.85</v>
      </c>
      <c r="AG219" s="9">
        <f t="shared" ref="AG219:AW219" si="391">SUM(AG214:AG218)</f>
        <v>0</v>
      </c>
      <c r="AH219" s="9">
        <f t="shared" si="391"/>
        <v>485000</v>
      </c>
      <c r="AI219" s="9">
        <f t="shared" si="391"/>
        <v>17586000</v>
      </c>
      <c r="AJ219" s="9">
        <f t="shared" si="391"/>
        <v>3655000</v>
      </c>
      <c r="AK219" s="9">
        <f t="shared" si="391"/>
        <v>44029000</v>
      </c>
      <c r="AL219" s="9">
        <f t="shared" si="391"/>
        <v>9894000</v>
      </c>
      <c r="AM219" s="9">
        <f t="shared" si="391"/>
        <v>14748000</v>
      </c>
      <c r="AN219" s="9">
        <f t="shared" si="391"/>
        <v>8466000</v>
      </c>
      <c r="AO219" s="66">
        <f t="shared" si="391"/>
        <v>76363000</v>
      </c>
      <c r="AP219" s="66">
        <f t="shared" si="391"/>
        <v>22500000</v>
      </c>
      <c r="AQ219" s="66">
        <f t="shared" si="391"/>
        <v>98863000</v>
      </c>
      <c r="AR219" s="9">
        <f t="shared" si="391"/>
        <v>97639312.680000007</v>
      </c>
      <c r="AS219" s="9">
        <f t="shared" si="391"/>
        <v>27794004.600000001</v>
      </c>
      <c r="AT219" s="9">
        <f t="shared" si="391"/>
        <v>13244.89</v>
      </c>
      <c r="AU219" s="9">
        <f t="shared" si="391"/>
        <v>13244.89</v>
      </c>
      <c r="AV219" s="9">
        <f t="shared" si="391"/>
        <v>13244.89</v>
      </c>
      <c r="AW219" s="9">
        <f t="shared" si="391"/>
        <v>225142602.80000001</v>
      </c>
      <c r="AX219" s="10" t="s">
        <v>147</v>
      </c>
      <c r="AY219" s="5">
        <v>225142602.78999996</v>
      </c>
      <c r="AZ219" s="5">
        <f t="shared" si="276"/>
        <v>1.0000050067901611E-2</v>
      </c>
    </row>
    <row r="220" spans="1:53" s="4" customFormat="1" ht="30">
      <c r="A220" s="127"/>
      <c r="B220" s="124"/>
      <c r="C220" s="146"/>
      <c r="D220" s="25" t="s">
        <v>22</v>
      </c>
      <c r="E220" s="25">
        <v>564801</v>
      </c>
      <c r="F220" s="37" t="s">
        <v>41</v>
      </c>
      <c r="G220" s="25">
        <v>323200</v>
      </c>
      <c r="H220" s="26">
        <f>SUM(H221:H222)</f>
        <v>0</v>
      </c>
      <c r="I220" s="26">
        <f t="shared" ref="I220:L220" si="392">SUM(I221:I222)</f>
        <v>0</v>
      </c>
      <c r="J220" s="26">
        <f t="shared" si="392"/>
        <v>0</v>
      </c>
      <c r="K220" s="26">
        <f t="shared" si="392"/>
        <v>0</v>
      </c>
      <c r="L220" s="26">
        <f t="shared" si="392"/>
        <v>0</v>
      </c>
      <c r="M220" s="26">
        <f>SUM(M221:M222)</f>
        <v>0</v>
      </c>
      <c r="N220" s="26">
        <f>SUM(N221:N222)</f>
        <v>0</v>
      </c>
      <c r="O220" s="26">
        <f t="shared" ref="O220:AF220" si="393">SUM(O221:O222)</f>
        <v>0</v>
      </c>
      <c r="P220" s="26">
        <f t="shared" si="393"/>
        <v>0</v>
      </c>
      <c r="Q220" s="26">
        <f t="shared" si="393"/>
        <v>0</v>
      </c>
      <c r="R220" s="26">
        <f t="shared" si="393"/>
        <v>0</v>
      </c>
      <c r="S220" s="26">
        <f t="shared" si="393"/>
        <v>0</v>
      </c>
      <c r="T220" s="26">
        <f t="shared" si="393"/>
        <v>0</v>
      </c>
      <c r="U220" s="26">
        <f t="shared" si="393"/>
        <v>0</v>
      </c>
      <c r="V220" s="26">
        <f t="shared" si="393"/>
        <v>0</v>
      </c>
      <c r="W220" s="26">
        <f t="shared" si="393"/>
        <v>0</v>
      </c>
      <c r="X220" s="26">
        <f t="shared" si="393"/>
        <v>0</v>
      </c>
      <c r="Y220" s="26">
        <f t="shared" si="393"/>
        <v>415000</v>
      </c>
      <c r="Z220" s="26">
        <f t="shared" si="393"/>
        <v>2350000</v>
      </c>
      <c r="AA220" s="26">
        <f t="shared" si="393"/>
        <v>0</v>
      </c>
      <c r="AB220" s="26">
        <f t="shared" si="393"/>
        <v>2765000</v>
      </c>
      <c r="AC220" s="26">
        <f t="shared" si="393"/>
        <v>0</v>
      </c>
      <c r="AD220" s="67">
        <f t="shared" ref="AD220" si="394">SUM(W220:Z220)</f>
        <v>2765000</v>
      </c>
      <c r="AE220" s="26">
        <f t="shared" si="393"/>
        <v>0</v>
      </c>
      <c r="AF220" s="26">
        <f t="shared" si="393"/>
        <v>0</v>
      </c>
      <c r="AG220" s="26">
        <f t="shared" ref="AG220:AW220" si="395">SUM(AG221:AG222)</f>
        <v>0</v>
      </c>
      <c r="AH220" s="26">
        <f t="shared" si="395"/>
        <v>73000</v>
      </c>
      <c r="AI220" s="26">
        <f t="shared" si="395"/>
        <v>2332999.9999999995</v>
      </c>
      <c r="AJ220" s="26">
        <f t="shared" si="395"/>
        <v>359000</v>
      </c>
      <c r="AK220" s="26">
        <f t="shared" si="395"/>
        <v>5841000</v>
      </c>
      <c r="AL220" s="26">
        <f t="shared" si="395"/>
        <v>1598000</v>
      </c>
      <c r="AM220" s="26">
        <f t="shared" si="395"/>
        <v>1955999.9999999995</v>
      </c>
      <c r="AN220" s="26">
        <f t="shared" si="395"/>
        <v>1387000</v>
      </c>
      <c r="AO220" s="67">
        <f t="shared" si="395"/>
        <v>10130000</v>
      </c>
      <c r="AP220" s="67">
        <f t="shared" si="395"/>
        <v>3417000</v>
      </c>
      <c r="AQ220" s="67">
        <f t="shared" si="395"/>
        <v>13547000</v>
      </c>
      <c r="AR220" s="26">
        <f t="shared" si="395"/>
        <v>13781789.005000001</v>
      </c>
      <c r="AS220" s="26">
        <f t="shared" si="395"/>
        <v>3529000.7025000006</v>
      </c>
      <c r="AT220" s="26">
        <f t="shared" si="395"/>
        <v>0</v>
      </c>
      <c r="AU220" s="26">
        <f t="shared" si="395"/>
        <v>0</v>
      </c>
      <c r="AV220" s="26">
        <f t="shared" si="395"/>
        <v>0</v>
      </c>
      <c r="AW220" s="26">
        <f t="shared" si="395"/>
        <v>30857789.7075</v>
      </c>
      <c r="AX220" s="14" t="s">
        <v>32</v>
      </c>
      <c r="AY220" s="4">
        <v>30863749.906500001</v>
      </c>
      <c r="AZ220" s="41">
        <f t="shared" si="276"/>
        <v>-5960.1990000009537</v>
      </c>
    </row>
    <row r="221" spans="1:53" s="4" customFormat="1">
      <c r="A221" s="127"/>
      <c r="B221" s="124"/>
      <c r="C221" s="146"/>
      <c r="D221" s="25"/>
      <c r="E221" s="25"/>
      <c r="F221" s="37" t="s">
        <v>23</v>
      </c>
      <c r="G221" s="25">
        <v>323200</v>
      </c>
      <c r="H221" s="26"/>
      <c r="I221" s="26"/>
      <c r="J221" s="26"/>
      <c r="K221" s="26"/>
      <c r="L221" s="26"/>
      <c r="M221" s="26">
        <f>SUM(I221:L221)</f>
        <v>0</v>
      </c>
      <c r="N221" s="26"/>
      <c r="O221" s="26">
        <f t="shared" ref="O221:O224" si="396">H221+N221</f>
        <v>0</v>
      </c>
      <c r="P221" s="26"/>
      <c r="Q221" s="26"/>
      <c r="R221" s="26"/>
      <c r="S221" s="26"/>
      <c r="T221" s="26">
        <f t="shared" ref="T221:T224" si="397">SUM(P221:S221)</f>
        <v>0</v>
      </c>
      <c r="U221" s="26"/>
      <c r="V221" s="26">
        <f t="shared" ref="V221:V223" si="398">O221+U221</f>
        <v>0</v>
      </c>
      <c r="W221" s="26"/>
      <c r="X221" s="26"/>
      <c r="Y221" s="26">
        <f>2764140.85*2%+378.872499999998</f>
        <v>55661.6895</v>
      </c>
      <c r="Z221" s="26">
        <f>15663464.8*2%-378.872499999998+859.15249999985</f>
        <v>313749.57599999988</v>
      </c>
      <c r="AA221" s="26"/>
      <c r="AB221" s="26">
        <f t="shared" ref="AB221:AB224" si="399">W221+X221+Y221+Z221</f>
        <v>369411.26549999986</v>
      </c>
      <c r="AC221" s="26">
        <f t="shared" ref="AC221:AC224" si="400">AA221</f>
        <v>0</v>
      </c>
      <c r="AD221" s="67">
        <f t="shared" ref="AD221:AD224" si="401">AB221+AC221</f>
        <v>369411.26549999986</v>
      </c>
      <c r="AE221" s="26"/>
      <c r="AF221" s="26">
        <f t="shared" ref="AF221:AF224" si="402">V221+AE221</f>
        <v>0</v>
      </c>
      <c r="AG221" s="26">
        <f>483154.29*2%+526.856500000009+810.057699999992-11000</f>
        <v>0</v>
      </c>
      <c r="AH221" s="26">
        <v>11000</v>
      </c>
      <c r="AI221" s="26">
        <f>17944451.81*2%-526.856500000009+859.084999999962-810.057699999992+588.793000000063-359000</f>
        <v>0</v>
      </c>
      <c r="AJ221" s="26">
        <v>359000</v>
      </c>
      <c r="AK221" s="26">
        <f>44927325.06*2%-859.084999999962+760.325999999418-588.793000000063+141.05080000055-898000</f>
        <v>0</v>
      </c>
      <c r="AL221" s="26">
        <v>898000</v>
      </c>
      <c r="AM221" s="26">
        <f>26956395.28*2%-760.325999999418+301.033999999053-141.05080000055+472.437200000859-539000</f>
        <v>0</v>
      </c>
      <c r="AN221" s="26">
        <v>539000</v>
      </c>
      <c r="AO221" s="67">
        <f t="shared" si="330"/>
        <v>0</v>
      </c>
      <c r="AP221" s="67">
        <f t="shared" si="331"/>
        <v>1807000</v>
      </c>
      <c r="AQ221" s="67">
        <f t="shared" si="332"/>
        <v>1807000</v>
      </c>
      <c r="AR221" s="26">
        <f>91880600.26*2%-301.033999999053-472.437200000859</f>
        <v>1836838.5340000002</v>
      </c>
      <c r="AS221" s="26">
        <f>23526671.35*2%</f>
        <v>470533.42700000003</v>
      </c>
      <c r="AT221" s="26"/>
      <c r="AU221" s="26"/>
      <c r="AV221" s="26"/>
      <c r="AW221" s="26">
        <f t="shared" si="333"/>
        <v>4114371.9610000001</v>
      </c>
      <c r="AX221" s="14" t="s">
        <v>32</v>
      </c>
      <c r="AY221" s="4">
        <v>4115166.6541999998</v>
      </c>
      <c r="AZ221" s="41">
        <f t="shared" si="276"/>
        <v>-794.69319999963045</v>
      </c>
    </row>
    <row r="222" spans="1:53" s="4" customFormat="1">
      <c r="A222" s="127"/>
      <c r="B222" s="124"/>
      <c r="C222" s="146"/>
      <c r="D222" s="25"/>
      <c r="E222" s="25"/>
      <c r="F222" s="37" t="s">
        <v>42</v>
      </c>
      <c r="G222" s="25">
        <v>323200</v>
      </c>
      <c r="H222" s="26"/>
      <c r="I222" s="26"/>
      <c r="J222" s="26"/>
      <c r="K222" s="26"/>
      <c r="L222" s="26"/>
      <c r="M222" s="26">
        <f t="shared" ref="M222:M224" si="403">SUM(I222:L222)</f>
        <v>0</v>
      </c>
      <c r="N222" s="26"/>
      <c r="O222" s="26">
        <f t="shared" si="396"/>
        <v>0</v>
      </c>
      <c r="P222" s="26"/>
      <c r="Q222" s="26"/>
      <c r="R222" s="26"/>
      <c r="S222" s="26"/>
      <c r="T222" s="26">
        <f t="shared" si="397"/>
        <v>0</v>
      </c>
      <c r="U222" s="26"/>
      <c r="V222" s="26">
        <f t="shared" si="398"/>
        <v>0</v>
      </c>
      <c r="W222" s="26"/>
      <c r="X222" s="26"/>
      <c r="Y222" s="26">
        <f>2764140.85*13%</f>
        <v>359338.31050000002</v>
      </c>
      <c r="Z222" s="26">
        <f>15663464.8*13%</f>
        <v>2036250.4240000001</v>
      </c>
      <c r="AA222" s="26"/>
      <c r="AB222" s="26">
        <f t="shared" si="399"/>
        <v>2395588.7345000003</v>
      </c>
      <c r="AC222" s="26">
        <f t="shared" si="400"/>
        <v>0</v>
      </c>
      <c r="AD222" s="67">
        <f t="shared" si="401"/>
        <v>2395588.7345000003</v>
      </c>
      <c r="AE222" s="26"/>
      <c r="AF222" s="26">
        <f t="shared" si="402"/>
        <v>0</v>
      </c>
      <c r="AG222" s="26">
        <f>483154.29*13%-810.057699999992-62000</f>
        <v>0</v>
      </c>
      <c r="AH222" s="26">
        <v>62000.000000000007</v>
      </c>
      <c r="AI222" s="26">
        <f>17944451.81*13%+810.057699999992-588.793000000063</f>
        <v>2332999.9999999995</v>
      </c>
      <c r="AJ222" s="26"/>
      <c r="AK222" s="26">
        <f>44927325.06*13%+588.793000000063-141.05080000055</f>
        <v>5841000</v>
      </c>
      <c r="AL222" s="26">
        <v>700000</v>
      </c>
      <c r="AM222" s="26">
        <f>26956395.28*13%+141.05080000055-472.437200000859-1548000</f>
        <v>1955999.9999999995</v>
      </c>
      <c r="AN222" s="26">
        <f>1548000-700000</f>
        <v>848000</v>
      </c>
      <c r="AO222" s="67">
        <f t="shared" si="330"/>
        <v>10130000</v>
      </c>
      <c r="AP222" s="67">
        <f t="shared" si="331"/>
        <v>1610000</v>
      </c>
      <c r="AQ222" s="67">
        <f t="shared" si="332"/>
        <v>11740000</v>
      </c>
      <c r="AR222" s="26">
        <f>91880600.26*13%+472.437200000859</f>
        <v>11944950.471000001</v>
      </c>
      <c r="AS222" s="26">
        <f>23526671.35*13%</f>
        <v>3058467.2755000005</v>
      </c>
      <c r="AT222" s="26"/>
      <c r="AU222" s="26"/>
      <c r="AV222" s="26"/>
      <c r="AW222" s="26">
        <f t="shared" si="333"/>
        <v>26743417.7465</v>
      </c>
      <c r="AX222" s="14" t="s">
        <v>32</v>
      </c>
      <c r="AY222" s="4">
        <v>26748583.252300002</v>
      </c>
      <c r="AZ222" s="41">
        <f t="shared" si="276"/>
        <v>-5165.5058000013232</v>
      </c>
    </row>
    <row r="223" spans="1:53" s="4" customFormat="1" ht="30">
      <c r="A223" s="127"/>
      <c r="B223" s="124"/>
      <c r="C223" s="146"/>
      <c r="D223" s="25" t="s">
        <v>22</v>
      </c>
      <c r="E223" s="25">
        <v>564802</v>
      </c>
      <c r="F223" s="37" t="s">
        <v>31</v>
      </c>
      <c r="G223" s="25">
        <v>323200</v>
      </c>
      <c r="H223" s="26"/>
      <c r="I223" s="26"/>
      <c r="J223" s="26"/>
      <c r="K223" s="26"/>
      <c r="L223" s="26"/>
      <c r="M223" s="26">
        <f t="shared" si="403"/>
        <v>0</v>
      </c>
      <c r="N223" s="26"/>
      <c r="O223" s="26">
        <f t="shared" si="396"/>
        <v>0</v>
      </c>
      <c r="P223" s="26"/>
      <c r="Q223" s="26"/>
      <c r="R223" s="26"/>
      <c r="S223" s="26"/>
      <c r="T223" s="26">
        <f t="shared" si="397"/>
        <v>0</v>
      </c>
      <c r="U223" s="26"/>
      <c r="V223" s="26">
        <f t="shared" si="398"/>
        <v>0</v>
      </c>
      <c r="W223" s="26"/>
      <c r="X223" s="26"/>
      <c r="Y223" s="26">
        <f>2764140.85*85%+480.27749999985</f>
        <v>2350000</v>
      </c>
      <c r="Z223" s="26">
        <f>15663464.8*85%-480.27749999985+535.197499999776</f>
        <v>13314000</v>
      </c>
      <c r="AA223" s="26"/>
      <c r="AB223" s="26">
        <f t="shared" si="399"/>
        <v>15664000</v>
      </c>
      <c r="AC223" s="26">
        <f t="shared" si="400"/>
        <v>0</v>
      </c>
      <c r="AD223" s="67">
        <f t="shared" si="401"/>
        <v>15664000</v>
      </c>
      <c r="AE223" s="26"/>
      <c r="AF223" s="26">
        <f t="shared" si="402"/>
        <v>0</v>
      </c>
      <c r="AG223" s="26">
        <f>483154.29*85%+318.853500000027-411000</f>
        <v>0</v>
      </c>
      <c r="AH223" s="26">
        <v>411000</v>
      </c>
      <c r="AI223" s="26">
        <f>17944451.81*85%-318.853500000027+534.815000001341</f>
        <v>15253000</v>
      </c>
      <c r="AJ223" s="26"/>
      <c r="AK223" s="26">
        <f>44927325.06*85%-534.815000001341+308.513999998569</f>
        <v>38188000</v>
      </c>
      <c r="AL223" s="26">
        <v>5000000</v>
      </c>
      <c r="AM223" s="26">
        <f>26956395.28*85%-308.513999998569+372.525999996811-10121000</f>
        <v>12792000</v>
      </c>
      <c r="AN223" s="26">
        <f>10121000-5000000</f>
        <v>5121000</v>
      </c>
      <c r="AO223" s="67">
        <f t="shared" si="330"/>
        <v>66233000</v>
      </c>
      <c r="AP223" s="67">
        <f t="shared" si="331"/>
        <v>10532000</v>
      </c>
      <c r="AQ223" s="67">
        <f t="shared" si="332"/>
        <v>76765000</v>
      </c>
      <c r="AR223" s="26">
        <f>91880600.26*85%-372.525999996811</f>
        <v>78098137.695000008</v>
      </c>
      <c r="AS223" s="26">
        <f>23526671.35*85%</f>
        <v>19997670.647500001</v>
      </c>
      <c r="AT223" s="26"/>
      <c r="AU223" s="26"/>
      <c r="AV223" s="26"/>
      <c r="AW223" s="26">
        <f t="shared" si="333"/>
        <v>174860808.3425</v>
      </c>
      <c r="AX223" s="14" t="s">
        <v>32</v>
      </c>
      <c r="AY223" s="4">
        <v>174894582.80349997</v>
      </c>
      <c r="AZ223" s="41">
        <f t="shared" si="276"/>
        <v>-33774.460999965668</v>
      </c>
    </row>
    <row r="224" spans="1:53" s="4" customFormat="1">
      <c r="A224" s="127"/>
      <c r="B224" s="124"/>
      <c r="C224" s="146"/>
      <c r="D224" s="25" t="s">
        <v>22</v>
      </c>
      <c r="E224" s="25">
        <v>564803</v>
      </c>
      <c r="F224" s="37" t="s">
        <v>28</v>
      </c>
      <c r="G224" s="25">
        <v>323200</v>
      </c>
      <c r="H224" s="26">
        <v>113508.57</v>
      </c>
      <c r="I224" s="26"/>
      <c r="J224" s="26"/>
      <c r="K224" s="26"/>
      <c r="L224" s="26"/>
      <c r="M224" s="26">
        <f t="shared" si="403"/>
        <v>0</v>
      </c>
      <c r="N224" s="26">
        <v>687736.43</v>
      </c>
      <c r="O224" s="26">
        <f t="shared" si="396"/>
        <v>801245</v>
      </c>
      <c r="P224" s="26"/>
      <c r="Q224" s="26"/>
      <c r="R224" s="26"/>
      <c r="S224" s="26"/>
      <c r="T224" s="26">
        <f t="shared" si="397"/>
        <v>0</v>
      </c>
      <c r="U224" s="26">
        <v>5305.85</v>
      </c>
      <c r="V224" s="26">
        <f>O224+U224</f>
        <v>806550.85</v>
      </c>
      <c r="W224" s="26"/>
      <c r="X224" s="26"/>
      <c r="Y224" s="54"/>
      <c r="Z224" s="26"/>
      <c r="AA224" s="26">
        <v>13457000</v>
      </c>
      <c r="AB224" s="26">
        <f t="shared" si="399"/>
        <v>0</v>
      </c>
      <c r="AC224" s="26">
        <f t="shared" si="400"/>
        <v>13457000</v>
      </c>
      <c r="AD224" s="67">
        <f t="shared" si="401"/>
        <v>13457000</v>
      </c>
      <c r="AE224" s="26"/>
      <c r="AF224" s="26">
        <f t="shared" si="402"/>
        <v>806550.85</v>
      </c>
      <c r="AG224" s="26">
        <f>100+900-1000</f>
        <v>0</v>
      </c>
      <c r="AH224" s="26">
        <v>1000</v>
      </c>
      <c r="AI224" s="26">
        <f>3296237-900+663-3296000</f>
        <v>0</v>
      </c>
      <c r="AJ224" s="26">
        <v>3296000</v>
      </c>
      <c r="AK224" s="26">
        <f>3296237-663+426-3296000</f>
        <v>0</v>
      </c>
      <c r="AL224" s="26">
        <v>3296000</v>
      </c>
      <c r="AM224" s="26">
        <f>1957588.12-426+837.879999999888-1958000</f>
        <v>0</v>
      </c>
      <c r="AN224" s="26">
        <v>1958000</v>
      </c>
      <c r="AO224" s="67">
        <f t="shared" si="330"/>
        <v>0</v>
      </c>
      <c r="AP224" s="67">
        <f t="shared" si="331"/>
        <v>8551000</v>
      </c>
      <c r="AQ224" s="67">
        <f t="shared" si="332"/>
        <v>8551000</v>
      </c>
      <c r="AR224" s="26">
        <f>5760223.86-837.879999999888</f>
        <v>5759385.9800000004</v>
      </c>
      <c r="AS224" s="26">
        <v>4267333.25</v>
      </c>
      <c r="AT224" s="26">
        <v>13244.89</v>
      </c>
      <c r="AU224" s="26">
        <v>13244.89</v>
      </c>
      <c r="AV224" s="26">
        <v>13244.89</v>
      </c>
      <c r="AW224" s="26">
        <f t="shared" si="333"/>
        <v>19424004.75</v>
      </c>
      <c r="AX224" s="14" t="s">
        <v>32</v>
      </c>
      <c r="AY224" s="41">
        <v>19384270.079999998</v>
      </c>
      <c r="AZ224" s="41">
        <f t="shared" si="276"/>
        <v>39734.670000001788</v>
      </c>
      <c r="BA224" s="41"/>
    </row>
    <row r="225" spans="1:52" s="4" customFormat="1">
      <c r="A225" s="127"/>
      <c r="B225" s="124"/>
      <c r="C225" s="147"/>
      <c r="D225" s="25" t="s">
        <v>22</v>
      </c>
      <c r="E225" s="14"/>
      <c r="F225" s="37" t="s">
        <v>29</v>
      </c>
      <c r="G225" s="25">
        <v>323200</v>
      </c>
      <c r="H225" s="26">
        <f>H220+H223+H224</f>
        <v>113508.57</v>
      </c>
      <c r="I225" s="26">
        <f t="shared" ref="I225:U225" si="404">I220+I223+I224</f>
        <v>0</v>
      </c>
      <c r="J225" s="26">
        <f t="shared" si="404"/>
        <v>0</v>
      </c>
      <c r="K225" s="26">
        <f t="shared" si="404"/>
        <v>0</v>
      </c>
      <c r="L225" s="26">
        <f t="shared" si="404"/>
        <v>0</v>
      </c>
      <c r="M225" s="26">
        <f t="shared" si="404"/>
        <v>0</v>
      </c>
      <c r="N225" s="26">
        <f t="shared" si="404"/>
        <v>687736.43</v>
      </c>
      <c r="O225" s="26">
        <f t="shared" si="404"/>
        <v>801245</v>
      </c>
      <c r="P225" s="26">
        <f t="shared" si="404"/>
        <v>0</v>
      </c>
      <c r="Q225" s="26">
        <f t="shared" si="404"/>
        <v>0</v>
      </c>
      <c r="R225" s="26">
        <f t="shared" si="404"/>
        <v>0</v>
      </c>
      <c r="S225" s="26">
        <f t="shared" si="404"/>
        <v>0</v>
      </c>
      <c r="T225" s="26">
        <f t="shared" si="404"/>
        <v>0</v>
      </c>
      <c r="U225" s="26">
        <f t="shared" si="404"/>
        <v>5305.85</v>
      </c>
      <c r="V225" s="26">
        <f>V220+V223+V224</f>
        <v>806550.85</v>
      </c>
      <c r="W225" s="26">
        <f t="shared" ref="W225:AW225" si="405">W220+W223+W224</f>
        <v>0</v>
      </c>
      <c r="X225" s="26">
        <f t="shared" si="405"/>
        <v>0</v>
      </c>
      <c r="Y225" s="26">
        <f t="shared" si="405"/>
        <v>2765000</v>
      </c>
      <c r="Z225" s="26">
        <f t="shared" si="405"/>
        <v>15664000</v>
      </c>
      <c r="AA225" s="26">
        <f t="shared" si="405"/>
        <v>13457000</v>
      </c>
      <c r="AB225" s="26">
        <f t="shared" si="405"/>
        <v>18429000</v>
      </c>
      <c r="AC225" s="26">
        <f t="shared" si="405"/>
        <v>13457000</v>
      </c>
      <c r="AD225" s="67">
        <f t="shared" si="405"/>
        <v>31886000</v>
      </c>
      <c r="AE225" s="26">
        <f t="shared" si="405"/>
        <v>0</v>
      </c>
      <c r="AF225" s="26">
        <f t="shared" si="405"/>
        <v>806550.85</v>
      </c>
      <c r="AG225" s="26">
        <f t="shared" si="405"/>
        <v>0</v>
      </c>
      <c r="AH225" s="26">
        <f t="shared" si="405"/>
        <v>485000</v>
      </c>
      <c r="AI225" s="26">
        <f t="shared" si="405"/>
        <v>17586000</v>
      </c>
      <c r="AJ225" s="26">
        <f t="shared" si="405"/>
        <v>3655000</v>
      </c>
      <c r="AK225" s="26">
        <f t="shared" si="405"/>
        <v>44029000</v>
      </c>
      <c r="AL225" s="26">
        <f t="shared" si="405"/>
        <v>9894000</v>
      </c>
      <c r="AM225" s="26">
        <f t="shared" si="405"/>
        <v>14748000</v>
      </c>
      <c r="AN225" s="26">
        <f t="shared" si="405"/>
        <v>8466000</v>
      </c>
      <c r="AO225" s="67">
        <f t="shared" si="405"/>
        <v>76363000</v>
      </c>
      <c r="AP225" s="67">
        <f t="shared" si="405"/>
        <v>22500000</v>
      </c>
      <c r="AQ225" s="67">
        <f t="shared" si="405"/>
        <v>98863000</v>
      </c>
      <c r="AR225" s="26">
        <f t="shared" si="405"/>
        <v>97639312.680000007</v>
      </c>
      <c r="AS225" s="26">
        <f t="shared" si="405"/>
        <v>27794004.600000001</v>
      </c>
      <c r="AT225" s="26">
        <f t="shared" si="405"/>
        <v>13244.89</v>
      </c>
      <c r="AU225" s="26">
        <f t="shared" si="405"/>
        <v>13244.89</v>
      </c>
      <c r="AV225" s="26">
        <f t="shared" si="405"/>
        <v>13244.89</v>
      </c>
      <c r="AW225" s="26">
        <f t="shared" si="405"/>
        <v>225142602.80000001</v>
      </c>
      <c r="AX225" s="14" t="s">
        <v>32</v>
      </c>
      <c r="AY225" s="4">
        <v>225142602.78999996</v>
      </c>
      <c r="AZ225" s="4">
        <f t="shared" si="276"/>
        <v>1.0000050067901611E-2</v>
      </c>
    </row>
    <row r="226" spans="1:52" s="35" customFormat="1">
      <c r="A226" s="38" t="s">
        <v>113</v>
      </c>
      <c r="B226" s="38"/>
      <c r="C226" s="32"/>
      <c r="D226" s="33"/>
      <c r="E226" s="33"/>
      <c r="F226" s="33"/>
      <c r="G226" s="31"/>
      <c r="H226" s="34"/>
      <c r="I226" s="34"/>
      <c r="J226" s="34"/>
      <c r="K226" s="34"/>
      <c r="L226" s="34"/>
      <c r="M226" s="39"/>
      <c r="N226" s="39"/>
      <c r="O226" s="39"/>
      <c r="P226" s="39"/>
      <c r="Q226" s="39"/>
      <c r="R226" s="39"/>
      <c r="S226" s="39"/>
      <c r="T226" s="34"/>
      <c r="U226" s="39"/>
      <c r="V226" s="39"/>
      <c r="W226" s="39"/>
      <c r="X226" s="39"/>
      <c r="Y226" s="39"/>
      <c r="Z226" s="39"/>
      <c r="AA226" s="39"/>
      <c r="AB226" s="39"/>
      <c r="AC226" s="39"/>
      <c r="AD226" s="69">
        <f t="shared" si="214"/>
        <v>0</v>
      </c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69">
        <f t="shared" si="330"/>
        <v>0</v>
      </c>
      <c r="AP226" s="69">
        <f t="shared" si="331"/>
        <v>0</v>
      </c>
      <c r="AQ226" s="69">
        <f t="shared" si="332"/>
        <v>0</v>
      </c>
      <c r="AR226" s="34"/>
      <c r="AS226" s="34"/>
      <c r="AT226" s="34"/>
      <c r="AU226" s="34"/>
      <c r="AV226" s="34"/>
      <c r="AW226" s="39">
        <f t="shared" si="333"/>
        <v>0</v>
      </c>
      <c r="AX226" s="34"/>
    </row>
    <row r="227" spans="1:52" s="5" customFormat="1" ht="30">
      <c r="A227" s="130" t="s">
        <v>114</v>
      </c>
      <c r="B227" s="111" t="s">
        <v>23</v>
      </c>
      <c r="C227" s="129">
        <v>51</v>
      </c>
      <c r="D227" s="7" t="s">
        <v>21</v>
      </c>
      <c r="E227" s="7">
        <v>42028801</v>
      </c>
      <c r="F227" s="8" t="s">
        <v>44</v>
      </c>
      <c r="G227" s="7" t="s">
        <v>78</v>
      </c>
      <c r="H227" s="9"/>
      <c r="I227" s="9">
        <v>2521000</v>
      </c>
      <c r="J227" s="9"/>
      <c r="K227" s="9"/>
      <c r="L227" s="9"/>
      <c r="M227" s="9">
        <f t="shared" ref="M227:M229" si="406">SUM(I227:L227)</f>
        <v>2521000</v>
      </c>
      <c r="N227" s="9"/>
      <c r="O227" s="9">
        <f>H227+N227</f>
        <v>0</v>
      </c>
      <c r="P227" s="9"/>
      <c r="Q227" s="9">
        <v>543999.99999999988</v>
      </c>
      <c r="R227" s="9">
        <v>3066000</v>
      </c>
      <c r="S227" s="9">
        <v>3066000</v>
      </c>
      <c r="T227" s="9">
        <f>SUM(P227:S227)</f>
        <v>6676000</v>
      </c>
      <c r="U227" s="9"/>
      <c r="V227" s="9">
        <f>O227+U227</f>
        <v>0</v>
      </c>
      <c r="W227" s="9"/>
      <c r="X227" s="9">
        <v>365000</v>
      </c>
      <c r="Y227" s="9">
        <v>3704000</v>
      </c>
      <c r="Z227" s="9">
        <v>3701000</v>
      </c>
      <c r="AA227" s="9"/>
      <c r="AB227" s="9"/>
      <c r="AC227" s="9"/>
      <c r="AD227" s="66">
        <f t="shared" si="214"/>
        <v>7770000</v>
      </c>
      <c r="AE227" s="9">
        <v>2177210.58</v>
      </c>
      <c r="AF227" s="9">
        <f t="shared" ref="AF227:AF229" si="407">V227+AE227</f>
        <v>2177210.58</v>
      </c>
      <c r="AG227" s="9">
        <v>6305000</v>
      </c>
      <c r="AH227" s="9"/>
      <c r="AI227" s="9">
        <v>6303999.9999999991</v>
      </c>
      <c r="AJ227" s="9"/>
      <c r="AK227" s="9"/>
      <c r="AL227" s="9"/>
      <c r="AM227" s="9"/>
      <c r="AN227" s="9"/>
      <c r="AO227" s="66">
        <f t="shared" si="330"/>
        <v>12609000</v>
      </c>
      <c r="AP227" s="66">
        <f t="shared" si="331"/>
        <v>0</v>
      </c>
      <c r="AQ227" s="66">
        <f t="shared" si="332"/>
        <v>12609000</v>
      </c>
      <c r="AR227" s="9">
        <v>-563.64</v>
      </c>
      <c r="AS227" s="9"/>
      <c r="AT227" s="9"/>
      <c r="AU227" s="9"/>
      <c r="AV227" s="9"/>
      <c r="AW227" s="9">
        <f t="shared" si="333"/>
        <v>14785646.939999999</v>
      </c>
      <c r="AX227" s="44" t="s">
        <v>48</v>
      </c>
      <c r="AY227" s="5">
        <v>15034122.699999999</v>
      </c>
      <c r="AZ227" s="5">
        <f t="shared" si="276"/>
        <v>-248475.75999999978</v>
      </c>
    </row>
    <row r="228" spans="1:52" s="5" customFormat="1" ht="30">
      <c r="A228" s="109"/>
      <c r="B228" s="112"/>
      <c r="C228" s="114"/>
      <c r="D228" s="7" t="s">
        <v>21</v>
      </c>
      <c r="E228" s="7">
        <v>42028802</v>
      </c>
      <c r="F228" s="8" t="s">
        <v>45</v>
      </c>
      <c r="G228" s="7" t="s">
        <v>78</v>
      </c>
      <c r="H228" s="9"/>
      <c r="I228" s="9"/>
      <c r="J228" s="9"/>
      <c r="K228" s="9"/>
      <c r="L228" s="9"/>
      <c r="M228" s="9">
        <f t="shared" si="406"/>
        <v>0</v>
      </c>
      <c r="N228" s="9"/>
      <c r="O228" s="9">
        <f t="shared" ref="O228:O229" si="408">H228+N228</f>
        <v>0</v>
      </c>
      <c r="P228" s="9"/>
      <c r="Q228" s="9"/>
      <c r="R228" s="9"/>
      <c r="S228" s="9"/>
      <c r="T228" s="9">
        <f t="shared" ref="T228:T229" si="409">SUM(P228:S228)</f>
        <v>0</v>
      </c>
      <c r="U228" s="9"/>
      <c r="V228" s="9">
        <f>O228+U228</f>
        <v>0</v>
      </c>
      <c r="W228" s="9"/>
      <c r="X228" s="9"/>
      <c r="Y228" s="9"/>
      <c r="Z228" s="9"/>
      <c r="AA228" s="9"/>
      <c r="AB228" s="9"/>
      <c r="AC228" s="9"/>
      <c r="AD228" s="66">
        <f t="shared" si="214"/>
        <v>0</v>
      </c>
      <c r="AE228" s="9"/>
      <c r="AF228" s="9">
        <f t="shared" si="407"/>
        <v>0</v>
      </c>
      <c r="AG228" s="9"/>
      <c r="AH228" s="9"/>
      <c r="AI228" s="9"/>
      <c r="AJ228" s="9"/>
      <c r="AK228" s="9"/>
      <c r="AL228" s="9"/>
      <c r="AM228" s="9"/>
      <c r="AN228" s="9"/>
      <c r="AO228" s="66">
        <f t="shared" si="330"/>
        <v>0</v>
      </c>
      <c r="AP228" s="66">
        <f t="shared" si="331"/>
        <v>0</v>
      </c>
      <c r="AQ228" s="66">
        <f t="shared" si="332"/>
        <v>0</v>
      </c>
      <c r="AR228" s="9"/>
      <c r="AS228" s="9"/>
      <c r="AT228" s="9"/>
      <c r="AU228" s="9"/>
      <c r="AV228" s="9"/>
      <c r="AW228" s="9">
        <f t="shared" si="333"/>
        <v>0</v>
      </c>
      <c r="AX228" s="44" t="s">
        <v>48</v>
      </c>
      <c r="AY228" s="5">
        <v>0</v>
      </c>
      <c r="AZ228" s="5">
        <f t="shared" si="276"/>
        <v>0</v>
      </c>
    </row>
    <row r="229" spans="1:52" s="5" customFormat="1">
      <c r="A229" s="109"/>
      <c r="B229" s="112"/>
      <c r="C229" s="114"/>
      <c r="D229" s="7" t="s">
        <v>21</v>
      </c>
      <c r="E229" s="7">
        <v>42028803</v>
      </c>
      <c r="F229" s="8" t="s">
        <v>46</v>
      </c>
      <c r="G229" s="7" t="s">
        <v>78</v>
      </c>
      <c r="H229" s="9"/>
      <c r="I229" s="9">
        <v>479000</v>
      </c>
      <c r="J229" s="9"/>
      <c r="K229" s="9"/>
      <c r="L229" s="9"/>
      <c r="M229" s="9">
        <f t="shared" si="406"/>
        <v>479000</v>
      </c>
      <c r="N229" s="9"/>
      <c r="O229" s="9">
        <f t="shared" si="408"/>
        <v>0</v>
      </c>
      <c r="P229" s="9"/>
      <c r="Q229" s="9">
        <v>104000.00000000012</v>
      </c>
      <c r="R229" s="9">
        <v>582000</v>
      </c>
      <c r="S229" s="9">
        <v>583000</v>
      </c>
      <c r="T229" s="9">
        <f t="shared" si="409"/>
        <v>1269000</v>
      </c>
      <c r="U229" s="9"/>
      <c r="V229" s="9">
        <f>O229+U229</f>
        <v>0</v>
      </c>
      <c r="W229" s="9"/>
      <c r="X229" s="9">
        <v>71000</v>
      </c>
      <c r="Y229" s="9">
        <v>704000</v>
      </c>
      <c r="Z229" s="9">
        <v>703000</v>
      </c>
      <c r="AA229" s="9"/>
      <c r="AB229" s="9"/>
      <c r="AC229" s="9"/>
      <c r="AD229" s="66">
        <f t="shared" si="214"/>
        <v>1478000</v>
      </c>
      <c r="AE229" s="9">
        <v>457186.22</v>
      </c>
      <c r="AF229" s="9">
        <f t="shared" si="407"/>
        <v>457186.22</v>
      </c>
      <c r="AG229" s="9">
        <v>1324000</v>
      </c>
      <c r="AH229" s="9"/>
      <c r="AI229" s="9">
        <v>1324000</v>
      </c>
      <c r="AJ229" s="9"/>
      <c r="AK229" s="9"/>
      <c r="AL229" s="9"/>
      <c r="AM229" s="9"/>
      <c r="AN229" s="9"/>
      <c r="AO229" s="66">
        <f t="shared" si="330"/>
        <v>2648000</v>
      </c>
      <c r="AP229" s="66">
        <f t="shared" si="331"/>
        <v>0</v>
      </c>
      <c r="AQ229" s="66">
        <f t="shared" si="332"/>
        <v>2648000</v>
      </c>
      <c r="AR229" s="9">
        <v>-226.38</v>
      </c>
      <c r="AS229" s="9"/>
      <c r="AT229" s="9"/>
      <c r="AU229" s="9"/>
      <c r="AV229" s="9"/>
      <c r="AW229" s="9">
        <f t="shared" si="333"/>
        <v>3104959.84</v>
      </c>
      <c r="AX229" s="44" t="s">
        <v>48</v>
      </c>
      <c r="AY229" s="5">
        <v>2856483.33</v>
      </c>
      <c r="AZ229" s="5">
        <f t="shared" si="276"/>
        <v>248476.50999999978</v>
      </c>
    </row>
    <row r="230" spans="1:52" s="5" customFormat="1">
      <c r="A230" s="109"/>
      <c r="B230" s="112"/>
      <c r="C230" s="114"/>
      <c r="D230" s="7"/>
      <c r="E230" s="7"/>
      <c r="F230" s="8" t="s">
        <v>236</v>
      </c>
      <c r="G230" s="7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66"/>
      <c r="AE230" s="9"/>
      <c r="AF230" s="9"/>
      <c r="AG230" s="9"/>
      <c r="AH230" s="9">
        <f>AH236-AH227-AH228-AH229</f>
        <v>3415000</v>
      </c>
      <c r="AI230" s="9"/>
      <c r="AJ230" s="9">
        <f>AJ236-AJ227-AJ228-AJ229</f>
        <v>3585000</v>
      </c>
      <c r="AK230" s="9"/>
      <c r="AL230" s="9">
        <f>AL236-AL227-AL228-AL229</f>
        <v>0</v>
      </c>
      <c r="AM230" s="9"/>
      <c r="AN230" s="9">
        <f>AN236-AN227-AN228-AN229</f>
        <v>0</v>
      </c>
      <c r="AO230" s="66">
        <f t="shared" ref="AO230" si="410">AG230+AI230+AK230+AM230</f>
        <v>0</v>
      </c>
      <c r="AP230" s="66">
        <f t="shared" ref="AP230" si="411">AH230+AJ230+AL230+AN230</f>
        <v>7000000</v>
      </c>
      <c r="AQ230" s="66">
        <f t="shared" ref="AQ230" si="412">AO230+AP230</f>
        <v>7000000</v>
      </c>
      <c r="AR230" s="9"/>
      <c r="AS230" s="9"/>
      <c r="AT230" s="9"/>
      <c r="AU230" s="9"/>
      <c r="AV230" s="9"/>
      <c r="AW230" s="9">
        <f t="shared" si="333"/>
        <v>7000000</v>
      </c>
      <c r="AX230" s="44" t="s">
        <v>48</v>
      </c>
    </row>
    <row r="231" spans="1:52" s="5" customFormat="1">
      <c r="A231" s="109"/>
      <c r="B231" s="112"/>
      <c r="C231" s="114"/>
      <c r="D231" s="7" t="s">
        <v>21</v>
      </c>
      <c r="E231" s="7"/>
      <c r="F231" s="7" t="s">
        <v>19</v>
      </c>
      <c r="G231" s="7" t="s">
        <v>78</v>
      </c>
      <c r="H231" s="9">
        <f>H236-H227-H228-H229</f>
        <v>0</v>
      </c>
      <c r="I231" s="9">
        <f t="shared" ref="I231:N231" si="413">I236-I227-I228-I229</f>
        <v>-3000000</v>
      </c>
      <c r="J231" s="9">
        <f t="shared" si="413"/>
        <v>0</v>
      </c>
      <c r="K231" s="9">
        <f t="shared" si="413"/>
        <v>0</v>
      </c>
      <c r="L231" s="9">
        <f t="shared" si="413"/>
        <v>0</v>
      </c>
      <c r="M231" s="9">
        <f t="shared" si="413"/>
        <v>-3000000</v>
      </c>
      <c r="N231" s="9">
        <f t="shared" si="413"/>
        <v>0</v>
      </c>
      <c r="O231" s="9">
        <f>O236-O227-O228-O229</f>
        <v>0</v>
      </c>
      <c r="P231" s="9">
        <f t="shared" ref="P231:T231" si="414">P236-P227-P228-P229</f>
        <v>0</v>
      </c>
      <c r="Q231" s="9">
        <f t="shared" si="414"/>
        <v>5000</v>
      </c>
      <c r="R231" s="9">
        <f t="shared" si="414"/>
        <v>1057000</v>
      </c>
      <c r="S231" s="9">
        <f t="shared" si="414"/>
        <v>1057000</v>
      </c>
      <c r="T231" s="9">
        <f t="shared" si="414"/>
        <v>2119000</v>
      </c>
      <c r="U231" s="9">
        <f t="shared" ref="U231:V231" si="415">U236-U227-U228-U229</f>
        <v>0</v>
      </c>
      <c r="V231" s="9">
        <f t="shared" si="415"/>
        <v>0</v>
      </c>
      <c r="W231" s="9">
        <f t="shared" ref="W231:AF231" si="416">W236-W227-W228-W229</f>
        <v>0</v>
      </c>
      <c r="X231" s="9">
        <f t="shared" si="416"/>
        <v>384000</v>
      </c>
      <c r="Y231" s="9">
        <f t="shared" si="416"/>
        <v>1640000</v>
      </c>
      <c r="Z231" s="9">
        <f t="shared" si="416"/>
        <v>1640000</v>
      </c>
      <c r="AA231" s="9"/>
      <c r="AB231" s="9"/>
      <c r="AC231" s="9"/>
      <c r="AD231" s="66">
        <f t="shared" si="416"/>
        <v>3664000</v>
      </c>
      <c r="AE231" s="9">
        <f t="shared" si="416"/>
        <v>33832.360000000102</v>
      </c>
      <c r="AF231" s="9">
        <f t="shared" si="416"/>
        <v>33832.360000000102</v>
      </c>
      <c r="AG231" s="9">
        <f t="shared" ref="AG231:AM231" si="417">AG236-AG227-AG228-AG229</f>
        <v>0</v>
      </c>
      <c r="AH231" s="9">
        <f>AH236-AH227-AH228-AH229-AH230</f>
        <v>0</v>
      </c>
      <c r="AI231" s="9">
        <f t="shared" si="417"/>
        <v>136999.99999999907</v>
      </c>
      <c r="AJ231" s="9">
        <f>AJ236-AJ227-AJ228-AJ229-AJ230</f>
        <v>0</v>
      </c>
      <c r="AK231" s="9">
        <f t="shared" si="417"/>
        <v>0</v>
      </c>
      <c r="AL231" s="9">
        <f>AL236-AL227-AL228-AL229-AL230</f>
        <v>0</v>
      </c>
      <c r="AM231" s="9">
        <f t="shared" si="417"/>
        <v>0</v>
      </c>
      <c r="AN231" s="9">
        <f>AN236-AN227-AN228-AN229-AN230</f>
        <v>0</v>
      </c>
      <c r="AO231" s="66">
        <f t="shared" ref="AO231:AW231" si="418">AO236-AO227-AO228-AO229-AO230</f>
        <v>137000</v>
      </c>
      <c r="AP231" s="66">
        <f t="shared" si="418"/>
        <v>0</v>
      </c>
      <c r="AQ231" s="66">
        <f t="shared" si="418"/>
        <v>137000</v>
      </c>
      <c r="AR231" s="9">
        <f t="shared" si="418"/>
        <v>-494.44000000000005</v>
      </c>
      <c r="AS231" s="9">
        <f t="shared" si="418"/>
        <v>0</v>
      </c>
      <c r="AT231" s="9">
        <f t="shared" si="418"/>
        <v>0</v>
      </c>
      <c r="AU231" s="9">
        <f t="shared" si="418"/>
        <v>0</v>
      </c>
      <c r="AV231" s="9">
        <f t="shared" si="418"/>
        <v>0</v>
      </c>
      <c r="AW231" s="9">
        <f t="shared" si="418"/>
        <v>170337.91999999993</v>
      </c>
      <c r="AX231" s="44" t="s">
        <v>48</v>
      </c>
      <c r="AY231" s="5">
        <v>7170337.9200000009</v>
      </c>
      <c r="AZ231" s="5">
        <f t="shared" si="276"/>
        <v>-7000000.0000000009</v>
      </c>
    </row>
    <row r="232" spans="1:52" s="5" customFormat="1">
      <c r="A232" s="109"/>
      <c r="B232" s="112"/>
      <c r="C232" s="114"/>
      <c r="D232" s="7" t="s">
        <v>21</v>
      </c>
      <c r="E232" s="7"/>
      <c r="F232" s="7" t="s">
        <v>47</v>
      </c>
      <c r="G232" s="7" t="s">
        <v>78</v>
      </c>
      <c r="H232" s="9">
        <f t="shared" ref="H232:M232" si="419">SUM(H227:H231)</f>
        <v>0</v>
      </c>
      <c r="I232" s="9">
        <f t="shared" si="419"/>
        <v>0</v>
      </c>
      <c r="J232" s="9">
        <f t="shared" si="419"/>
        <v>0</v>
      </c>
      <c r="K232" s="9">
        <f t="shared" si="419"/>
        <v>0</v>
      </c>
      <c r="L232" s="9">
        <f t="shared" si="419"/>
        <v>0</v>
      </c>
      <c r="M232" s="9">
        <f t="shared" si="419"/>
        <v>0</v>
      </c>
      <c r="N232" s="9">
        <f t="shared" ref="N232:T232" si="420">SUM(N227:N231)</f>
        <v>0</v>
      </c>
      <c r="O232" s="9">
        <f>SUM(O227:O231)</f>
        <v>0</v>
      </c>
      <c r="P232" s="9">
        <f t="shared" si="420"/>
        <v>0</v>
      </c>
      <c r="Q232" s="9">
        <f t="shared" si="420"/>
        <v>653000</v>
      </c>
      <c r="R232" s="9">
        <f t="shared" si="420"/>
        <v>4705000</v>
      </c>
      <c r="S232" s="9">
        <f t="shared" si="420"/>
        <v>4706000</v>
      </c>
      <c r="T232" s="9">
        <f t="shared" si="420"/>
        <v>10064000</v>
      </c>
      <c r="U232" s="9">
        <f t="shared" ref="U232:V232" si="421">SUM(U227:U231)</f>
        <v>0</v>
      </c>
      <c r="V232" s="9">
        <f t="shared" si="421"/>
        <v>0</v>
      </c>
      <c r="W232" s="9">
        <f t="shared" ref="W232:AF232" si="422">SUM(W227:W231)</f>
        <v>0</v>
      </c>
      <c r="X232" s="9">
        <f t="shared" si="422"/>
        <v>820000</v>
      </c>
      <c r="Y232" s="9">
        <f t="shared" si="422"/>
        <v>6048000</v>
      </c>
      <c r="Z232" s="9">
        <f t="shared" si="422"/>
        <v>6044000</v>
      </c>
      <c r="AA232" s="9"/>
      <c r="AB232" s="9"/>
      <c r="AC232" s="9"/>
      <c r="AD232" s="66">
        <f t="shared" si="422"/>
        <v>12912000</v>
      </c>
      <c r="AE232" s="9">
        <f t="shared" si="422"/>
        <v>2668229.16</v>
      </c>
      <c r="AF232" s="9">
        <f t="shared" si="422"/>
        <v>2668229.16</v>
      </c>
      <c r="AG232" s="9">
        <f t="shared" ref="AG232:AW232" si="423">SUM(AG227:AG231)</f>
        <v>7629000</v>
      </c>
      <c r="AH232" s="9">
        <f t="shared" si="423"/>
        <v>3415000</v>
      </c>
      <c r="AI232" s="9">
        <f t="shared" si="423"/>
        <v>7764999.9999999981</v>
      </c>
      <c r="AJ232" s="9">
        <f t="shared" si="423"/>
        <v>3585000</v>
      </c>
      <c r="AK232" s="9">
        <f t="shared" si="423"/>
        <v>0</v>
      </c>
      <c r="AL232" s="9">
        <f t="shared" si="423"/>
        <v>0</v>
      </c>
      <c r="AM232" s="9">
        <f t="shared" si="423"/>
        <v>0</v>
      </c>
      <c r="AN232" s="9">
        <f t="shared" si="423"/>
        <v>0</v>
      </c>
      <c r="AO232" s="66">
        <f t="shared" si="423"/>
        <v>15394000</v>
      </c>
      <c r="AP232" s="66">
        <f t="shared" si="423"/>
        <v>7000000</v>
      </c>
      <c r="AQ232" s="66">
        <f t="shared" si="423"/>
        <v>22394000</v>
      </c>
      <c r="AR232" s="9">
        <f t="shared" si="423"/>
        <v>-1284.46</v>
      </c>
      <c r="AS232" s="9">
        <f t="shared" si="423"/>
        <v>0</v>
      </c>
      <c r="AT232" s="9">
        <f t="shared" si="423"/>
        <v>0</v>
      </c>
      <c r="AU232" s="9">
        <f t="shared" si="423"/>
        <v>0</v>
      </c>
      <c r="AV232" s="9">
        <f t="shared" si="423"/>
        <v>0</v>
      </c>
      <c r="AW232" s="9">
        <f t="shared" si="423"/>
        <v>25060944.700000003</v>
      </c>
      <c r="AX232" s="44" t="s">
        <v>48</v>
      </c>
      <c r="AY232" s="5">
        <v>25060943.950000003</v>
      </c>
      <c r="AZ232" s="5">
        <f t="shared" si="276"/>
        <v>0.75</v>
      </c>
    </row>
    <row r="233" spans="1:52" s="4" customFormat="1" ht="30">
      <c r="A233" s="109"/>
      <c r="B233" s="112"/>
      <c r="C233" s="114"/>
      <c r="D233" s="25" t="s">
        <v>22</v>
      </c>
      <c r="E233" s="25">
        <v>6001</v>
      </c>
      <c r="F233" s="37" t="s">
        <v>44</v>
      </c>
      <c r="G233" s="25" t="s">
        <v>78</v>
      </c>
      <c r="H233" s="26"/>
      <c r="I233" s="26"/>
      <c r="J233" s="26"/>
      <c r="K233" s="26"/>
      <c r="L233" s="26"/>
      <c r="M233" s="26">
        <f t="shared" ref="M233:M235" si="424">SUM(I233:L233)</f>
        <v>0</v>
      </c>
      <c r="N233" s="26"/>
      <c r="O233" s="26">
        <f t="shared" ref="O233:O235" si="425">H233+N233</f>
        <v>0</v>
      </c>
      <c r="P233" s="26"/>
      <c r="Q233" s="26">
        <f>543053.100840336+946.899159663939</f>
        <v>543999.99999999988</v>
      </c>
      <c r="R233" s="26">
        <f>3066361.10084034-946.899159663939+585.798319323919</f>
        <v>3066000</v>
      </c>
      <c r="S233" s="26">
        <f>3066361.09243697-585.798319323919+224.705882353708</f>
        <v>3066000</v>
      </c>
      <c r="T233" s="26">
        <f t="shared" ref="T233:T235" si="426">SUM(P233:S233)</f>
        <v>6676000</v>
      </c>
      <c r="U233" s="26">
        <v>0</v>
      </c>
      <c r="V233" s="26">
        <f>O233+U233</f>
        <v>0</v>
      </c>
      <c r="W233" s="26"/>
      <c r="X233" s="26">
        <f>45000+40000+280000</f>
        <v>365000</v>
      </c>
      <c r="Y233" s="26">
        <f>3703705.88+294.12</f>
        <v>3704000</v>
      </c>
      <c r="Z233" s="26">
        <f>3701184.87-294.12+109.25</f>
        <v>3701000</v>
      </c>
      <c r="AA233" s="26"/>
      <c r="AB233" s="26"/>
      <c r="AC233" s="26"/>
      <c r="AD233" s="67">
        <f t="shared" si="214"/>
        <v>7770000</v>
      </c>
      <c r="AE233" s="26">
        <v>2177210.58</v>
      </c>
      <c r="AF233" s="26">
        <f t="shared" ref="AF233:AF243" si="427">V233+AE233</f>
        <v>2177210.58</v>
      </c>
      <c r="AG233" s="26">
        <f>6304218.18+781.82</f>
        <v>6305000</v>
      </c>
      <c r="AH233" s="26"/>
      <c r="AI233" s="26">
        <f>6304218.18-781.82+563.64</f>
        <v>6303999.9999999991</v>
      </c>
      <c r="AJ233" s="26"/>
      <c r="AK233" s="26"/>
      <c r="AL233" s="26"/>
      <c r="AM233" s="26"/>
      <c r="AN233" s="26"/>
      <c r="AO233" s="67">
        <f t="shared" si="330"/>
        <v>12609000</v>
      </c>
      <c r="AP233" s="67">
        <f t="shared" si="331"/>
        <v>0</v>
      </c>
      <c r="AQ233" s="67">
        <f t="shared" si="332"/>
        <v>12609000</v>
      </c>
      <c r="AR233" s="26">
        <v>-563.64</v>
      </c>
      <c r="AS233" s="26"/>
      <c r="AT233" s="26"/>
      <c r="AU233" s="26"/>
      <c r="AV233" s="26"/>
      <c r="AW233" s="26">
        <f t="shared" si="333"/>
        <v>14785646.939999999</v>
      </c>
      <c r="AX233" s="57" t="s">
        <v>48</v>
      </c>
      <c r="AY233" s="4">
        <v>15034122.699999999</v>
      </c>
      <c r="AZ233" s="4">
        <f t="shared" si="276"/>
        <v>-248475.75999999978</v>
      </c>
    </row>
    <row r="234" spans="1:52" s="4" customFormat="1" ht="30">
      <c r="A234" s="109"/>
      <c r="B234" s="112"/>
      <c r="C234" s="114"/>
      <c r="D234" s="25" t="s">
        <v>22</v>
      </c>
      <c r="E234" s="25">
        <v>6002</v>
      </c>
      <c r="F234" s="37" t="s">
        <v>45</v>
      </c>
      <c r="G234" s="25" t="s">
        <v>78</v>
      </c>
      <c r="H234" s="26"/>
      <c r="I234" s="26"/>
      <c r="J234" s="26"/>
      <c r="K234" s="26"/>
      <c r="L234" s="26"/>
      <c r="M234" s="26">
        <f t="shared" si="424"/>
        <v>0</v>
      </c>
      <c r="N234" s="26"/>
      <c r="O234" s="26">
        <f t="shared" si="425"/>
        <v>0</v>
      </c>
      <c r="P234" s="26"/>
      <c r="Q234" s="26">
        <f>4165+835</f>
        <v>5000</v>
      </c>
      <c r="R234" s="26">
        <f>1057370.58-835+464.419999999925</f>
        <v>1057000</v>
      </c>
      <c r="S234" s="26">
        <f>1057370.58-464.419999999925+93.8399999998509</f>
        <v>1057000</v>
      </c>
      <c r="T234" s="26">
        <f t="shared" si="426"/>
        <v>2119000</v>
      </c>
      <c r="U234" s="26">
        <v>0</v>
      </c>
      <c r="V234" s="26">
        <f>O234+U234</f>
        <v>0</v>
      </c>
      <c r="W234" s="26"/>
      <c r="X234" s="26">
        <f>378193.92+806.080000000016+5000</f>
        <v>384000</v>
      </c>
      <c r="Y234" s="26">
        <f>1639979-806.080000000016+827.080000000074</f>
        <v>1640000</v>
      </c>
      <c r="Z234" s="26">
        <f>1639978-827.080000000074+849.080000000074</f>
        <v>1640000</v>
      </c>
      <c r="AA234" s="26"/>
      <c r="AB234" s="26"/>
      <c r="AC234" s="26"/>
      <c r="AD234" s="67">
        <f t="shared" si="214"/>
        <v>3664000</v>
      </c>
      <c r="AE234" s="26">
        <v>33832.36</v>
      </c>
      <c r="AF234" s="26">
        <f t="shared" si="427"/>
        <v>33832.36</v>
      </c>
      <c r="AG234" s="26">
        <f>3414844.76+155.24-3415000</f>
        <v>0</v>
      </c>
      <c r="AH234" s="26">
        <v>3415000</v>
      </c>
      <c r="AI234" s="26">
        <f>3721660.8-155.24+494.44-3585000</f>
        <v>136999.99999999953</v>
      </c>
      <c r="AJ234" s="26">
        <v>3585000</v>
      </c>
      <c r="AK234" s="26"/>
      <c r="AL234" s="26"/>
      <c r="AM234" s="26"/>
      <c r="AN234" s="26"/>
      <c r="AO234" s="67">
        <f t="shared" si="330"/>
        <v>136999.99999999953</v>
      </c>
      <c r="AP234" s="67">
        <f t="shared" si="331"/>
        <v>7000000</v>
      </c>
      <c r="AQ234" s="67">
        <f t="shared" si="332"/>
        <v>7137000</v>
      </c>
      <c r="AR234" s="26">
        <v>-494.44</v>
      </c>
      <c r="AS234" s="26"/>
      <c r="AT234" s="26"/>
      <c r="AU234" s="26"/>
      <c r="AV234" s="26"/>
      <c r="AW234" s="26">
        <f t="shared" si="333"/>
        <v>7170337.9199999999</v>
      </c>
      <c r="AX234" s="57" t="s">
        <v>48</v>
      </c>
      <c r="AY234" s="4">
        <v>7170337.9199999999</v>
      </c>
      <c r="AZ234" s="4">
        <f t="shared" si="276"/>
        <v>0</v>
      </c>
    </row>
    <row r="235" spans="1:52" s="4" customFormat="1">
      <c r="A235" s="109"/>
      <c r="B235" s="112"/>
      <c r="C235" s="114"/>
      <c r="D235" s="25" t="s">
        <v>22</v>
      </c>
      <c r="E235" s="25">
        <v>6003</v>
      </c>
      <c r="F235" s="37" t="s">
        <v>46</v>
      </c>
      <c r="G235" s="25" t="s">
        <v>78</v>
      </c>
      <c r="H235" s="26"/>
      <c r="I235" s="26"/>
      <c r="J235" s="26"/>
      <c r="K235" s="26"/>
      <c r="L235" s="26"/>
      <c r="M235" s="26">
        <f t="shared" si="424"/>
        <v>0</v>
      </c>
      <c r="N235" s="26"/>
      <c r="O235" s="26">
        <f t="shared" si="425"/>
        <v>0</v>
      </c>
      <c r="P235" s="26"/>
      <c r="Q235" s="26">
        <f>103180.089159664+819.910840336117</f>
        <v>104000.00000000012</v>
      </c>
      <c r="R235" s="26">
        <f>582608.609159664-819.910840336117+211.301680672099</f>
        <v>582000</v>
      </c>
      <c r="S235" s="26">
        <f>582608.607563025-211.301680672099+602.69411764713</f>
        <v>583000</v>
      </c>
      <c r="T235" s="26">
        <f t="shared" si="426"/>
        <v>1269000</v>
      </c>
      <c r="U235" s="26">
        <v>0</v>
      </c>
      <c r="V235" s="26">
        <f>O235+U235</f>
        <v>0</v>
      </c>
      <c r="W235" s="26"/>
      <c r="X235" s="26">
        <f>8550+450+7600+400+54000</f>
        <v>71000</v>
      </c>
      <c r="Y235" s="26">
        <f>703704.12-450+745.880000000005</f>
        <v>704000</v>
      </c>
      <c r="Z235" s="26">
        <f>703225.13-745.880000000005+520.75</f>
        <v>703000</v>
      </c>
      <c r="AA235" s="26"/>
      <c r="AB235" s="26"/>
      <c r="AC235" s="26"/>
      <c r="AD235" s="67">
        <f t="shared" si="214"/>
        <v>1478000</v>
      </c>
      <c r="AE235" s="26">
        <v>457186.22</v>
      </c>
      <c r="AF235" s="26">
        <f t="shared" si="427"/>
        <v>457186.22</v>
      </c>
      <c r="AG235" s="26">
        <f>1323886.81+113.19</f>
        <v>1324000</v>
      </c>
      <c r="AH235" s="26"/>
      <c r="AI235" s="26">
        <f>1323886.81-113.19+226.38</f>
        <v>1324000</v>
      </c>
      <c r="AJ235" s="26"/>
      <c r="AK235" s="26"/>
      <c r="AL235" s="26"/>
      <c r="AM235" s="26"/>
      <c r="AN235" s="26"/>
      <c r="AO235" s="67">
        <f t="shared" si="330"/>
        <v>2648000</v>
      </c>
      <c r="AP235" s="67">
        <f t="shared" si="331"/>
        <v>0</v>
      </c>
      <c r="AQ235" s="67">
        <f t="shared" si="332"/>
        <v>2648000</v>
      </c>
      <c r="AR235" s="26">
        <v>-226.38</v>
      </c>
      <c r="AS235" s="26"/>
      <c r="AT235" s="26"/>
      <c r="AU235" s="26"/>
      <c r="AV235" s="26"/>
      <c r="AW235" s="26">
        <f t="shared" si="333"/>
        <v>3104959.84</v>
      </c>
      <c r="AX235" s="57" t="s">
        <v>48</v>
      </c>
      <c r="AY235" s="4">
        <v>2856483.33</v>
      </c>
      <c r="AZ235" s="4">
        <f t="shared" si="276"/>
        <v>248476.50999999978</v>
      </c>
    </row>
    <row r="236" spans="1:52" s="4" customFormat="1">
      <c r="A236" s="109"/>
      <c r="B236" s="112"/>
      <c r="C236" s="114"/>
      <c r="D236" s="25" t="s">
        <v>22</v>
      </c>
      <c r="E236" s="25"/>
      <c r="F236" s="25" t="s">
        <v>29</v>
      </c>
      <c r="G236" s="25" t="s">
        <v>78</v>
      </c>
      <c r="H236" s="26">
        <f>SUM(H233:H235)</f>
        <v>0</v>
      </c>
      <c r="I236" s="26">
        <f t="shared" ref="I236:T236" si="428">SUM(I233:I235)</f>
        <v>0</v>
      </c>
      <c r="J236" s="26">
        <f t="shared" si="428"/>
        <v>0</v>
      </c>
      <c r="K236" s="26">
        <f t="shared" si="428"/>
        <v>0</v>
      </c>
      <c r="L236" s="26">
        <f t="shared" si="428"/>
        <v>0</v>
      </c>
      <c r="M236" s="26">
        <f t="shared" si="428"/>
        <v>0</v>
      </c>
      <c r="N236" s="26">
        <f t="shared" si="428"/>
        <v>0</v>
      </c>
      <c r="O236" s="26">
        <f>SUM(O233:O235)</f>
        <v>0</v>
      </c>
      <c r="P236" s="26">
        <f t="shared" si="428"/>
        <v>0</v>
      </c>
      <c r="Q236" s="26">
        <f t="shared" si="428"/>
        <v>653000</v>
      </c>
      <c r="R236" s="26">
        <f t="shared" si="428"/>
        <v>4705000</v>
      </c>
      <c r="S236" s="26">
        <f t="shared" si="428"/>
        <v>4706000</v>
      </c>
      <c r="T236" s="26">
        <f t="shared" si="428"/>
        <v>10064000</v>
      </c>
      <c r="U236" s="26">
        <f t="shared" ref="U236:AW236" si="429">SUM(U233:U235)</f>
        <v>0</v>
      </c>
      <c r="V236" s="26">
        <f t="shared" si="429"/>
        <v>0</v>
      </c>
      <c r="W236" s="26">
        <f t="shared" si="429"/>
        <v>0</v>
      </c>
      <c r="X236" s="26">
        <f t="shared" si="429"/>
        <v>820000</v>
      </c>
      <c r="Y236" s="26">
        <f t="shared" si="429"/>
        <v>6048000</v>
      </c>
      <c r="Z236" s="26">
        <f t="shared" si="429"/>
        <v>6044000</v>
      </c>
      <c r="AA236" s="26"/>
      <c r="AB236" s="26"/>
      <c r="AC236" s="26"/>
      <c r="AD236" s="67">
        <f t="shared" si="429"/>
        <v>12912000</v>
      </c>
      <c r="AE236" s="26">
        <f>SUM(AE233:AE235)</f>
        <v>2668229.16</v>
      </c>
      <c r="AF236" s="26">
        <f t="shared" si="429"/>
        <v>2668229.16</v>
      </c>
      <c r="AG236" s="26">
        <f t="shared" si="429"/>
        <v>7629000</v>
      </c>
      <c r="AH236" s="26">
        <f t="shared" si="429"/>
        <v>3415000</v>
      </c>
      <c r="AI236" s="26">
        <f t="shared" si="429"/>
        <v>7764999.9999999981</v>
      </c>
      <c r="AJ236" s="26">
        <f t="shared" si="429"/>
        <v>3585000</v>
      </c>
      <c r="AK236" s="26">
        <f t="shared" si="429"/>
        <v>0</v>
      </c>
      <c r="AL236" s="26">
        <f t="shared" si="429"/>
        <v>0</v>
      </c>
      <c r="AM236" s="26">
        <f t="shared" si="429"/>
        <v>0</v>
      </c>
      <c r="AN236" s="26">
        <f t="shared" si="429"/>
        <v>0</v>
      </c>
      <c r="AO236" s="67">
        <f t="shared" si="429"/>
        <v>15394000</v>
      </c>
      <c r="AP236" s="67">
        <f t="shared" si="429"/>
        <v>7000000</v>
      </c>
      <c r="AQ236" s="67">
        <f t="shared" si="429"/>
        <v>22394000</v>
      </c>
      <c r="AR236" s="26">
        <f t="shared" si="429"/>
        <v>-1284.46</v>
      </c>
      <c r="AS236" s="26">
        <f t="shared" si="429"/>
        <v>0</v>
      </c>
      <c r="AT236" s="26">
        <f t="shared" si="429"/>
        <v>0</v>
      </c>
      <c r="AU236" s="26">
        <f t="shared" si="429"/>
        <v>0</v>
      </c>
      <c r="AV236" s="26">
        <f t="shared" si="429"/>
        <v>0</v>
      </c>
      <c r="AW236" s="26">
        <f t="shared" si="429"/>
        <v>25060944.699999999</v>
      </c>
      <c r="AX236" s="57" t="s">
        <v>48</v>
      </c>
      <c r="AY236" s="4">
        <v>25060943.950000003</v>
      </c>
      <c r="AZ236" s="4">
        <f t="shared" si="276"/>
        <v>0.7499999962747097</v>
      </c>
    </row>
    <row r="237" spans="1:52" s="42" customFormat="1">
      <c r="A237" s="110"/>
      <c r="B237" s="126"/>
      <c r="C237" s="131"/>
      <c r="D237" s="28"/>
      <c r="E237" s="28"/>
      <c r="F237" s="28" t="s">
        <v>40</v>
      </c>
      <c r="G237" s="28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>
        <v>12000</v>
      </c>
      <c r="X237" s="30"/>
      <c r="Y237" s="30"/>
      <c r="Z237" s="30"/>
      <c r="AA237" s="30"/>
      <c r="AB237" s="30"/>
      <c r="AC237" s="30"/>
      <c r="AD237" s="68">
        <f t="shared" si="214"/>
        <v>12000</v>
      </c>
      <c r="AE237" s="30">
        <v>320</v>
      </c>
      <c r="AF237" s="30">
        <f t="shared" si="427"/>
        <v>320</v>
      </c>
      <c r="AG237" s="30"/>
      <c r="AH237" s="30"/>
      <c r="AI237" s="30"/>
      <c r="AJ237" s="30"/>
      <c r="AK237" s="30"/>
      <c r="AL237" s="30"/>
      <c r="AM237" s="30"/>
      <c r="AN237" s="30"/>
      <c r="AO237" s="68">
        <f t="shared" si="330"/>
        <v>0</v>
      </c>
      <c r="AP237" s="68">
        <f t="shared" si="331"/>
        <v>0</v>
      </c>
      <c r="AQ237" s="68">
        <f t="shared" si="332"/>
        <v>0</v>
      </c>
      <c r="AR237" s="30"/>
      <c r="AS237" s="30"/>
      <c r="AT237" s="30"/>
      <c r="AU237" s="30"/>
      <c r="AV237" s="30"/>
      <c r="AW237" s="30">
        <f t="shared" si="333"/>
        <v>320</v>
      </c>
      <c r="AX237" s="58"/>
    </row>
    <row r="238" spans="1:52" s="5" customFormat="1" ht="45">
      <c r="A238" s="130" t="s">
        <v>115</v>
      </c>
      <c r="B238" s="111" t="s">
        <v>23</v>
      </c>
      <c r="C238" s="129">
        <v>65</v>
      </c>
      <c r="D238" s="7" t="s">
        <v>21</v>
      </c>
      <c r="E238" s="7">
        <v>42028901</v>
      </c>
      <c r="F238" s="8" t="s">
        <v>86</v>
      </c>
      <c r="G238" s="8" t="s">
        <v>138</v>
      </c>
      <c r="H238" s="9"/>
      <c r="I238" s="9">
        <v>420000</v>
      </c>
      <c r="J238" s="9"/>
      <c r="K238" s="9"/>
      <c r="L238" s="9"/>
      <c r="M238" s="9">
        <f t="shared" ref="M238:M240" si="430">SUM(I238:L238)</f>
        <v>420000</v>
      </c>
      <c r="N238" s="9">
        <v>118200</v>
      </c>
      <c r="O238" s="9">
        <f>H238+N238</f>
        <v>118200</v>
      </c>
      <c r="P238" s="9">
        <v>316000.00000000012</v>
      </c>
      <c r="Q238" s="9">
        <v>392000</v>
      </c>
      <c r="R238" s="9">
        <v>1831000</v>
      </c>
      <c r="S238" s="9">
        <v>453000</v>
      </c>
      <c r="T238" s="9">
        <f>SUM(P238:S238)</f>
        <v>2992000</v>
      </c>
      <c r="U238" s="9">
        <f>4998+1542.38+10306.77+249255</f>
        <v>266102.15000000002</v>
      </c>
      <c r="V238" s="9">
        <f t="shared" ref="V238:V240" si="431">O238+U238</f>
        <v>384302.15</v>
      </c>
      <c r="W238" s="9"/>
      <c r="X238" s="9"/>
      <c r="Y238" s="9"/>
      <c r="Z238" s="9"/>
      <c r="AA238" s="9"/>
      <c r="AB238" s="9"/>
      <c r="AC238" s="9"/>
      <c r="AD238" s="66">
        <f t="shared" si="214"/>
        <v>0</v>
      </c>
      <c r="AE238" s="9"/>
      <c r="AF238" s="9">
        <f t="shared" si="427"/>
        <v>384302.15</v>
      </c>
      <c r="AG238" s="9"/>
      <c r="AH238" s="9"/>
      <c r="AI238" s="9"/>
      <c r="AJ238" s="9"/>
      <c r="AK238" s="9"/>
      <c r="AL238" s="9"/>
      <c r="AM238" s="9"/>
      <c r="AN238" s="9"/>
      <c r="AO238" s="66">
        <f t="shared" si="330"/>
        <v>0</v>
      </c>
      <c r="AP238" s="66">
        <f t="shared" si="331"/>
        <v>0</v>
      </c>
      <c r="AQ238" s="66">
        <f t="shared" si="332"/>
        <v>0</v>
      </c>
      <c r="AR238" s="9"/>
      <c r="AS238" s="9"/>
      <c r="AT238" s="9"/>
      <c r="AU238" s="9"/>
      <c r="AV238" s="9"/>
      <c r="AW238" s="9">
        <f t="shared" si="333"/>
        <v>384302.15</v>
      </c>
      <c r="AX238" s="44" t="s">
        <v>79</v>
      </c>
      <c r="AY238" s="5">
        <v>4225393.5300000012</v>
      </c>
      <c r="AZ238" s="11">
        <f>AW238+AW241-AY238</f>
        <v>-33906.440000001341</v>
      </c>
    </row>
    <row r="239" spans="1:52" s="5" customFormat="1" ht="45">
      <c r="A239" s="109"/>
      <c r="B239" s="112"/>
      <c r="C239" s="114"/>
      <c r="D239" s="7" t="s">
        <v>21</v>
      </c>
      <c r="E239" s="7">
        <v>42028902</v>
      </c>
      <c r="F239" s="8" t="s">
        <v>45</v>
      </c>
      <c r="G239" s="8" t="s">
        <v>138</v>
      </c>
      <c r="H239" s="9"/>
      <c r="I239" s="9"/>
      <c r="J239" s="9"/>
      <c r="K239" s="9"/>
      <c r="L239" s="9"/>
      <c r="M239" s="9">
        <f t="shared" si="430"/>
        <v>0</v>
      </c>
      <c r="N239" s="9"/>
      <c r="O239" s="9">
        <f t="shared" ref="O239:O240" si="432">H239+N239</f>
        <v>0</v>
      </c>
      <c r="P239" s="9"/>
      <c r="Q239" s="9"/>
      <c r="R239" s="9"/>
      <c r="S239" s="9"/>
      <c r="T239" s="9">
        <f t="shared" ref="T239:T240" si="433">SUM(P239:S239)</f>
        <v>0</v>
      </c>
      <c r="U239" s="9"/>
      <c r="V239" s="9">
        <f t="shared" si="431"/>
        <v>0</v>
      </c>
      <c r="W239" s="9"/>
      <c r="X239" s="9"/>
      <c r="Y239" s="9"/>
      <c r="Z239" s="9"/>
      <c r="AA239" s="9"/>
      <c r="AB239" s="9"/>
      <c r="AC239" s="9"/>
      <c r="AD239" s="66">
        <f t="shared" si="214"/>
        <v>0</v>
      </c>
      <c r="AE239" s="9"/>
      <c r="AF239" s="9">
        <f t="shared" si="427"/>
        <v>0</v>
      </c>
      <c r="AG239" s="9"/>
      <c r="AH239" s="9"/>
      <c r="AI239" s="9"/>
      <c r="AJ239" s="9"/>
      <c r="AK239" s="9"/>
      <c r="AL239" s="9"/>
      <c r="AM239" s="9"/>
      <c r="AN239" s="9"/>
      <c r="AO239" s="66">
        <f t="shared" si="330"/>
        <v>0</v>
      </c>
      <c r="AP239" s="66">
        <f t="shared" si="331"/>
        <v>0</v>
      </c>
      <c r="AQ239" s="66">
        <f t="shared" si="332"/>
        <v>0</v>
      </c>
      <c r="AR239" s="9"/>
      <c r="AS239" s="9"/>
      <c r="AT239" s="9"/>
      <c r="AU239" s="9"/>
      <c r="AV239" s="9"/>
      <c r="AW239" s="9">
        <f t="shared" si="333"/>
        <v>0</v>
      </c>
      <c r="AX239" s="44" t="s">
        <v>79</v>
      </c>
      <c r="AY239" s="5">
        <v>0</v>
      </c>
      <c r="AZ239" s="11">
        <f>AW239+AW242-AY239</f>
        <v>0</v>
      </c>
    </row>
    <row r="240" spans="1:52" s="5" customFormat="1" ht="45">
      <c r="A240" s="109"/>
      <c r="B240" s="112"/>
      <c r="C240" s="114"/>
      <c r="D240" s="7" t="s">
        <v>21</v>
      </c>
      <c r="E240" s="7">
        <v>42028903</v>
      </c>
      <c r="F240" s="8" t="s">
        <v>46</v>
      </c>
      <c r="G240" s="8" t="s">
        <v>138</v>
      </c>
      <c r="H240" s="9"/>
      <c r="I240" s="9">
        <v>80000</v>
      </c>
      <c r="J240" s="9"/>
      <c r="K240" s="9"/>
      <c r="L240" s="9"/>
      <c r="M240" s="9">
        <f t="shared" si="430"/>
        <v>80000</v>
      </c>
      <c r="N240" s="9"/>
      <c r="O240" s="9">
        <f t="shared" si="432"/>
        <v>0</v>
      </c>
      <c r="P240" s="9">
        <v>60999.999999999956</v>
      </c>
      <c r="Q240" s="9">
        <v>74000</v>
      </c>
      <c r="R240" s="9">
        <v>348000</v>
      </c>
      <c r="S240" s="9">
        <v>86000</v>
      </c>
      <c r="T240" s="9">
        <f t="shared" si="433"/>
        <v>569000</v>
      </c>
      <c r="U240" s="9">
        <f>949.62+47358.45</f>
        <v>48308.07</v>
      </c>
      <c r="V240" s="9">
        <f t="shared" si="431"/>
        <v>48308.07</v>
      </c>
      <c r="W240" s="9"/>
      <c r="X240" s="9"/>
      <c r="Y240" s="9"/>
      <c r="Z240" s="9"/>
      <c r="AA240" s="9"/>
      <c r="AB240" s="9"/>
      <c r="AC240" s="9"/>
      <c r="AD240" s="66">
        <f t="shared" si="214"/>
        <v>0</v>
      </c>
      <c r="AE240" s="9"/>
      <c r="AF240" s="9">
        <f t="shared" si="427"/>
        <v>48308.07</v>
      </c>
      <c r="AG240" s="9"/>
      <c r="AH240" s="9"/>
      <c r="AI240" s="9"/>
      <c r="AJ240" s="9"/>
      <c r="AK240" s="9"/>
      <c r="AL240" s="9"/>
      <c r="AM240" s="9"/>
      <c r="AN240" s="9"/>
      <c r="AO240" s="66">
        <f t="shared" si="330"/>
        <v>0</v>
      </c>
      <c r="AP240" s="66">
        <f t="shared" si="331"/>
        <v>0</v>
      </c>
      <c r="AQ240" s="66">
        <f t="shared" si="332"/>
        <v>0</v>
      </c>
      <c r="AR240" s="9"/>
      <c r="AS240" s="9"/>
      <c r="AT240" s="9"/>
      <c r="AU240" s="9"/>
      <c r="AV240" s="9"/>
      <c r="AW240" s="9">
        <f t="shared" si="333"/>
        <v>48308.07</v>
      </c>
      <c r="AX240" s="44" t="s">
        <v>79</v>
      </c>
      <c r="AY240" s="5">
        <v>771432.92</v>
      </c>
      <c r="AZ240" s="11">
        <f>AW240+AW243-AY240</f>
        <v>33907.209999999846</v>
      </c>
    </row>
    <row r="241" spans="1:52" s="5" customFormat="1" ht="45">
      <c r="A241" s="109"/>
      <c r="B241" s="112"/>
      <c r="C241" s="114"/>
      <c r="D241" s="7" t="s">
        <v>21</v>
      </c>
      <c r="E241" s="7">
        <v>42028801</v>
      </c>
      <c r="F241" s="8" t="s">
        <v>44</v>
      </c>
      <c r="G241" s="8" t="s">
        <v>138</v>
      </c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>
        <v>2984000</v>
      </c>
      <c r="X241" s="9">
        <v>858000</v>
      </c>
      <c r="Y241" s="9"/>
      <c r="Z241" s="9"/>
      <c r="AA241" s="9"/>
      <c r="AB241" s="9"/>
      <c r="AC241" s="9"/>
      <c r="AD241" s="66">
        <f t="shared" si="214"/>
        <v>3842000</v>
      </c>
      <c r="AE241" s="9">
        <v>2110568.2799999998</v>
      </c>
      <c r="AF241" s="9">
        <f t="shared" si="427"/>
        <v>2110568.2799999998</v>
      </c>
      <c r="AG241" s="9">
        <f>36713.51+286.49</f>
        <v>37000</v>
      </c>
      <c r="AH241" s="9"/>
      <c r="AI241" s="9">
        <f>1659903.15-286.49+383.34</f>
        <v>1660000</v>
      </c>
      <c r="AJ241" s="9"/>
      <c r="AK241" s="9"/>
      <c r="AL241" s="9"/>
      <c r="AM241" s="9"/>
      <c r="AN241" s="9"/>
      <c r="AO241" s="66">
        <f t="shared" si="330"/>
        <v>1697000</v>
      </c>
      <c r="AP241" s="66">
        <f t="shared" si="331"/>
        <v>0</v>
      </c>
      <c r="AQ241" s="66">
        <f t="shared" si="332"/>
        <v>1697000</v>
      </c>
      <c r="AR241" s="9">
        <v>-383.34</v>
      </c>
      <c r="AS241" s="9"/>
      <c r="AT241" s="9"/>
      <c r="AU241" s="9"/>
      <c r="AV241" s="9"/>
      <c r="AW241" s="9">
        <f t="shared" si="333"/>
        <v>3807184.94</v>
      </c>
      <c r="AX241" s="44" t="s">
        <v>48</v>
      </c>
    </row>
    <row r="242" spans="1:52" s="5" customFormat="1" ht="45">
      <c r="A242" s="109"/>
      <c r="B242" s="112"/>
      <c r="C242" s="114"/>
      <c r="D242" s="7" t="s">
        <v>21</v>
      </c>
      <c r="E242" s="7">
        <v>42028802</v>
      </c>
      <c r="F242" s="8" t="s">
        <v>45</v>
      </c>
      <c r="G242" s="8" t="s">
        <v>138</v>
      </c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66">
        <f t="shared" si="214"/>
        <v>0</v>
      </c>
      <c r="AE242" s="9"/>
      <c r="AF242" s="9">
        <f t="shared" si="427"/>
        <v>0</v>
      </c>
      <c r="AG242" s="9"/>
      <c r="AH242" s="9"/>
      <c r="AI242" s="9"/>
      <c r="AJ242" s="9"/>
      <c r="AK242" s="9"/>
      <c r="AL242" s="9"/>
      <c r="AM242" s="9"/>
      <c r="AN242" s="9"/>
      <c r="AO242" s="66">
        <f t="shared" si="330"/>
        <v>0</v>
      </c>
      <c r="AP242" s="66">
        <f t="shared" si="331"/>
        <v>0</v>
      </c>
      <c r="AQ242" s="66">
        <f t="shared" si="332"/>
        <v>0</v>
      </c>
      <c r="AR242" s="9"/>
      <c r="AS242" s="9"/>
      <c r="AT242" s="9"/>
      <c r="AU242" s="9"/>
      <c r="AV242" s="9"/>
      <c r="AW242" s="9">
        <f t="shared" si="333"/>
        <v>0</v>
      </c>
      <c r="AX242" s="44" t="s">
        <v>48</v>
      </c>
    </row>
    <row r="243" spans="1:52" s="5" customFormat="1" ht="45">
      <c r="A243" s="109"/>
      <c r="B243" s="112"/>
      <c r="C243" s="114"/>
      <c r="D243" s="7" t="s">
        <v>21</v>
      </c>
      <c r="E243" s="7">
        <v>42028803</v>
      </c>
      <c r="F243" s="8" t="s">
        <v>46</v>
      </c>
      <c r="G243" s="8" t="s">
        <v>138</v>
      </c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>
        <v>567000</v>
      </c>
      <c r="X243" s="9">
        <v>157000</v>
      </c>
      <c r="Y243" s="9"/>
      <c r="Z243" s="9"/>
      <c r="AA243" s="9"/>
      <c r="AB243" s="9"/>
      <c r="AC243" s="9"/>
      <c r="AD243" s="66">
        <f t="shared" si="214"/>
        <v>724000</v>
      </c>
      <c r="AE243" s="9">
        <v>401007.97</v>
      </c>
      <c r="AF243" s="9">
        <f t="shared" si="427"/>
        <v>401007.97</v>
      </c>
      <c r="AG243" s="9"/>
      <c r="AH243" s="9"/>
      <c r="AI243" s="9">
        <f>356024.09+975.91</f>
        <v>357000</v>
      </c>
      <c r="AJ243" s="9"/>
      <c r="AK243" s="9"/>
      <c r="AL243" s="9"/>
      <c r="AM243" s="9"/>
      <c r="AN243" s="9"/>
      <c r="AO243" s="66">
        <f t="shared" si="330"/>
        <v>357000</v>
      </c>
      <c r="AP243" s="66">
        <f t="shared" si="331"/>
        <v>0</v>
      </c>
      <c r="AQ243" s="66">
        <f t="shared" si="332"/>
        <v>357000</v>
      </c>
      <c r="AR243" s="9">
        <v>-975.91</v>
      </c>
      <c r="AS243" s="9"/>
      <c r="AT243" s="9"/>
      <c r="AU243" s="9"/>
      <c r="AV243" s="9"/>
      <c r="AW243" s="9">
        <f t="shared" si="333"/>
        <v>757032.05999999994</v>
      </c>
      <c r="AX243" s="44" t="s">
        <v>48</v>
      </c>
    </row>
    <row r="244" spans="1:52" s="5" customFormat="1" ht="45">
      <c r="A244" s="109"/>
      <c r="B244" s="112"/>
      <c r="C244" s="114"/>
      <c r="D244" s="7" t="s">
        <v>21</v>
      </c>
      <c r="E244" s="7"/>
      <c r="F244" s="7" t="s">
        <v>19</v>
      </c>
      <c r="G244" s="8" t="s">
        <v>138</v>
      </c>
      <c r="H244" s="9">
        <f t="shared" ref="H244:U244" si="434">H252-H238-H239-H240</f>
        <v>0</v>
      </c>
      <c r="I244" s="9">
        <f t="shared" si="434"/>
        <v>0</v>
      </c>
      <c r="J244" s="9">
        <f t="shared" si="434"/>
        <v>0</v>
      </c>
      <c r="K244" s="9">
        <f t="shared" si="434"/>
        <v>0</v>
      </c>
      <c r="L244" s="9">
        <f t="shared" si="434"/>
        <v>0</v>
      </c>
      <c r="M244" s="9">
        <f t="shared" si="434"/>
        <v>0</v>
      </c>
      <c r="N244" s="9">
        <f t="shared" si="434"/>
        <v>0</v>
      </c>
      <c r="O244" s="9">
        <f t="shared" si="434"/>
        <v>0</v>
      </c>
      <c r="P244" s="9">
        <f t="shared" si="434"/>
        <v>0</v>
      </c>
      <c r="Q244" s="9">
        <f t="shared" si="434"/>
        <v>0</v>
      </c>
      <c r="R244" s="9">
        <f t="shared" si="434"/>
        <v>6000</v>
      </c>
      <c r="S244" s="9">
        <f t="shared" si="434"/>
        <v>0</v>
      </c>
      <c r="T244" s="9">
        <f t="shared" si="434"/>
        <v>6000</v>
      </c>
      <c r="U244" s="9">
        <f t="shared" si="434"/>
        <v>5240.7600000000166</v>
      </c>
      <c r="V244" s="9">
        <f>V252-V238-V239-V240-V241-V242-V243</f>
        <v>5240.7600000000166</v>
      </c>
      <c r="W244" s="9">
        <f>W252-W238-W239-W240-W241-W242-W243</f>
        <v>219000</v>
      </c>
      <c r="X244" s="9">
        <f>X252-X238-X239-X240-X241-X242-X243</f>
        <v>0</v>
      </c>
      <c r="Y244" s="9">
        <f>Y252-Y238-Y239-Y240-Y241-Y242-Y243</f>
        <v>0</v>
      </c>
      <c r="Z244" s="9">
        <f>Z252-Z238-Z239-Z240-Z241-Z242-Z243</f>
        <v>0</v>
      </c>
      <c r="AA244" s="9"/>
      <c r="AB244" s="9"/>
      <c r="AC244" s="9"/>
      <c r="AD244" s="66">
        <f t="shared" ref="AD244:AN244" si="435">AD252-AD238-AD239-AD240-AD241-AD242-AD243</f>
        <v>219000</v>
      </c>
      <c r="AE244" s="9">
        <f t="shared" si="435"/>
        <v>9171.3300000003073</v>
      </c>
      <c r="AF244" s="9">
        <f t="shared" si="435"/>
        <v>14412.090000000084</v>
      </c>
      <c r="AG244" s="9">
        <f t="shared" si="435"/>
        <v>0</v>
      </c>
      <c r="AH244" s="9">
        <f t="shared" si="435"/>
        <v>0</v>
      </c>
      <c r="AI244" s="9">
        <f t="shared" si="435"/>
        <v>2210000</v>
      </c>
      <c r="AJ244" s="9">
        <f t="shared" si="435"/>
        <v>0</v>
      </c>
      <c r="AK244" s="9">
        <f t="shared" si="435"/>
        <v>0</v>
      </c>
      <c r="AL244" s="9">
        <f t="shared" si="435"/>
        <v>0</v>
      </c>
      <c r="AM244" s="9">
        <f t="shared" si="435"/>
        <v>0</v>
      </c>
      <c r="AN244" s="9">
        <f t="shared" si="435"/>
        <v>0</v>
      </c>
      <c r="AO244" s="66">
        <f t="shared" ref="AO244" si="436">AG244+AI244+AK244+AM244</f>
        <v>2210000</v>
      </c>
      <c r="AP244" s="66">
        <f t="shared" ref="AP244" si="437">AH244+AJ244+AL244+AN244</f>
        <v>0</v>
      </c>
      <c r="AQ244" s="66">
        <f t="shared" ref="AQ244" si="438">AO244+AP244</f>
        <v>2210000</v>
      </c>
      <c r="AR244" s="9">
        <f>AR252-AR238-AR239-AR240-AR241-AR242-AR243</f>
        <v>-634.33000000000004</v>
      </c>
      <c r="AS244" s="9">
        <f>AS252-AS238-AS239-AS240-AS241-AS242-AS243</f>
        <v>0</v>
      </c>
      <c r="AT244" s="9">
        <f>AT252-AT238-AT239-AT240-AT241-AT242-AT243</f>
        <v>0</v>
      </c>
      <c r="AU244" s="9">
        <f>AU252-AU238-AU239-AU240-AU241-AU242-AU243</f>
        <v>0</v>
      </c>
      <c r="AV244" s="9">
        <f>AV252-AV238-AV239-AV240-AV241-AV242-AV243</f>
        <v>0</v>
      </c>
      <c r="AW244" s="9">
        <f t="shared" si="333"/>
        <v>2223777.7599999998</v>
      </c>
      <c r="AX244" s="44" t="s">
        <v>48</v>
      </c>
      <c r="AY244" s="5">
        <v>2223777.6500000004</v>
      </c>
      <c r="AZ244" s="5">
        <f t="shared" si="276"/>
        <v>0.10999999940395355</v>
      </c>
    </row>
    <row r="245" spans="1:52" s="5" customFormat="1" ht="45">
      <c r="A245" s="109"/>
      <c r="B245" s="112"/>
      <c r="C245" s="114"/>
      <c r="D245" s="7" t="s">
        <v>21</v>
      </c>
      <c r="E245" s="7"/>
      <c r="F245" s="7" t="s">
        <v>47</v>
      </c>
      <c r="G245" s="8" t="s">
        <v>138</v>
      </c>
      <c r="H245" s="9">
        <f t="shared" ref="H245:V245" si="439">SUM(H238:H244)</f>
        <v>0</v>
      </c>
      <c r="I245" s="9">
        <f t="shared" si="439"/>
        <v>500000</v>
      </c>
      <c r="J245" s="9">
        <f t="shared" si="439"/>
        <v>0</v>
      </c>
      <c r="K245" s="9">
        <f t="shared" si="439"/>
        <v>0</v>
      </c>
      <c r="L245" s="9">
        <f t="shared" si="439"/>
        <v>0</v>
      </c>
      <c r="M245" s="9">
        <f t="shared" si="439"/>
        <v>500000</v>
      </c>
      <c r="N245" s="9">
        <f t="shared" si="439"/>
        <v>118200</v>
      </c>
      <c r="O245" s="9">
        <f t="shared" si="439"/>
        <v>118200</v>
      </c>
      <c r="P245" s="9">
        <f t="shared" si="439"/>
        <v>377000.00000000006</v>
      </c>
      <c r="Q245" s="9">
        <f t="shared" si="439"/>
        <v>466000</v>
      </c>
      <c r="R245" s="9">
        <f t="shared" si="439"/>
        <v>2185000</v>
      </c>
      <c r="S245" s="9">
        <f t="shared" si="439"/>
        <v>539000</v>
      </c>
      <c r="T245" s="9">
        <f t="shared" si="439"/>
        <v>3567000</v>
      </c>
      <c r="U245" s="9">
        <f t="shared" si="439"/>
        <v>319650.98000000004</v>
      </c>
      <c r="V245" s="9">
        <f t="shared" si="439"/>
        <v>437850.98000000004</v>
      </c>
      <c r="W245" s="9">
        <f>W252</f>
        <v>3770000</v>
      </c>
      <c r="X245" s="9">
        <f t="shared" ref="X245:AD245" si="440">X252</f>
        <v>1015000</v>
      </c>
      <c r="Y245" s="9">
        <f t="shared" si="440"/>
        <v>0</v>
      </c>
      <c r="Z245" s="9">
        <f t="shared" si="440"/>
        <v>0</v>
      </c>
      <c r="AA245" s="9"/>
      <c r="AB245" s="9"/>
      <c r="AC245" s="9"/>
      <c r="AD245" s="66">
        <f t="shared" si="440"/>
        <v>4785000</v>
      </c>
      <c r="AE245" s="9">
        <f t="shared" ref="AE245:AW245" si="441">SUM(AE238:AE244)</f>
        <v>2520747.58</v>
      </c>
      <c r="AF245" s="9">
        <f t="shared" si="441"/>
        <v>2958598.5599999996</v>
      </c>
      <c r="AG245" s="9">
        <f t="shared" si="441"/>
        <v>37000</v>
      </c>
      <c r="AH245" s="9">
        <f t="shared" si="441"/>
        <v>0</v>
      </c>
      <c r="AI245" s="9">
        <f t="shared" si="441"/>
        <v>4227000</v>
      </c>
      <c r="AJ245" s="9">
        <f t="shared" si="441"/>
        <v>0</v>
      </c>
      <c r="AK245" s="9">
        <f t="shared" si="441"/>
        <v>0</v>
      </c>
      <c r="AL245" s="9">
        <f t="shared" si="441"/>
        <v>0</v>
      </c>
      <c r="AM245" s="9">
        <f t="shared" si="441"/>
        <v>0</v>
      </c>
      <c r="AN245" s="9">
        <f t="shared" si="441"/>
        <v>0</v>
      </c>
      <c r="AO245" s="66">
        <f t="shared" si="441"/>
        <v>4264000</v>
      </c>
      <c r="AP245" s="66">
        <f t="shared" si="441"/>
        <v>0</v>
      </c>
      <c r="AQ245" s="66">
        <f t="shared" si="441"/>
        <v>4264000</v>
      </c>
      <c r="AR245" s="9">
        <f t="shared" si="441"/>
        <v>-1993.58</v>
      </c>
      <c r="AS245" s="9">
        <f t="shared" si="441"/>
        <v>0</v>
      </c>
      <c r="AT245" s="9">
        <f t="shared" si="441"/>
        <v>0</v>
      </c>
      <c r="AU245" s="9">
        <f t="shared" si="441"/>
        <v>0</v>
      </c>
      <c r="AV245" s="9">
        <f t="shared" si="441"/>
        <v>0</v>
      </c>
      <c r="AW245" s="9">
        <f t="shared" si="441"/>
        <v>7220604.9799999995</v>
      </c>
      <c r="AX245" s="44" t="s">
        <v>48</v>
      </c>
      <c r="AY245" s="5">
        <v>7220604.1000000015</v>
      </c>
      <c r="AZ245" s="5">
        <f t="shared" si="276"/>
        <v>0.87999999802559614</v>
      </c>
    </row>
    <row r="246" spans="1:52" s="4" customFormat="1" ht="45">
      <c r="A246" s="109"/>
      <c r="B246" s="112"/>
      <c r="C246" s="114"/>
      <c r="D246" s="25" t="s">
        <v>22</v>
      </c>
      <c r="E246" s="25">
        <v>6101</v>
      </c>
      <c r="F246" s="37" t="s">
        <v>85</v>
      </c>
      <c r="G246" s="37" t="s">
        <v>138</v>
      </c>
      <c r="H246" s="26"/>
      <c r="I246" s="26">
        <v>420000</v>
      </c>
      <c r="J246" s="26"/>
      <c r="K246" s="26"/>
      <c r="L246" s="26"/>
      <c r="M246" s="26">
        <f t="shared" ref="M246:M248" si="442">SUM(I246:L246)</f>
        <v>420000</v>
      </c>
      <c r="N246" s="26">
        <v>118200</v>
      </c>
      <c r="O246" s="26">
        <f t="shared" ref="O246:O248" si="443">H246+N246</f>
        <v>118200</v>
      </c>
      <c r="P246" s="26">
        <f>315966.386554622+33.6134453781414</f>
        <v>316000.00000000012</v>
      </c>
      <c r="Q246" s="26">
        <f>391568.69964572-33.6134453781414+464.913799658127</f>
        <v>392000</v>
      </c>
      <c r="R246" s="26">
        <f>1830965.16733274-464.913799658127+499.746466918149</f>
        <v>1831000</v>
      </c>
      <c r="S246" s="26">
        <f>452866.989596819-499.746466918149+632.756870099169</f>
        <v>453000</v>
      </c>
      <c r="T246" s="26">
        <f t="shared" ref="T246:T253" si="444">SUM(P246:S246)</f>
        <v>2992000</v>
      </c>
      <c r="U246" s="26">
        <v>266102.15000000002</v>
      </c>
      <c r="V246" s="26">
        <f t="shared" ref="V246:V248" si="445">O246+U246</f>
        <v>384302.15</v>
      </c>
      <c r="W246" s="26"/>
      <c r="X246" s="26"/>
      <c r="Y246" s="26"/>
      <c r="Z246" s="26"/>
      <c r="AA246" s="26"/>
      <c r="AB246" s="26"/>
      <c r="AC246" s="26"/>
      <c r="AD246" s="67">
        <f t="shared" si="214"/>
        <v>0</v>
      </c>
      <c r="AE246" s="26"/>
      <c r="AF246" s="26">
        <f t="shared" ref="AF246:AF251" si="446">V246+AE246</f>
        <v>384302.15</v>
      </c>
      <c r="AG246" s="26"/>
      <c r="AH246" s="26"/>
      <c r="AI246" s="26"/>
      <c r="AJ246" s="26"/>
      <c r="AK246" s="26"/>
      <c r="AL246" s="26"/>
      <c r="AM246" s="26"/>
      <c r="AN246" s="26"/>
      <c r="AO246" s="67">
        <f t="shared" si="330"/>
        <v>0</v>
      </c>
      <c r="AP246" s="67">
        <f t="shared" si="331"/>
        <v>0</v>
      </c>
      <c r="AQ246" s="67">
        <f t="shared" si="332"/>
        <v>0</v>
      </c>
      <c r="AR246" s="26"/>
      <c r="AS246" s="26"/>
      <c r="AT246" s="26"/>
      <c r="AU246" s="26"/>
      <c r="AV246" s="26"/>
      <c r="AW246" s="26">
        <f t="shared" si="333"/>
        <v>384302.15</v>
      </c>
      <c r="AX246" s="57" t="s">
        <v>79</v>
      </c>
      <c r="AY246" s="4">
        <v>4225393.53</v>
      </c>
      <c r="AZ246" s="41">
        <f>AW246+AW249-AY246</f>
        <v>-33906.44000000041</v>
      </c>
    </row>
    <row r="247" spans="1:52" s="4" customFormat="1" ht="45">
      <c r="A247" s="109"/>
      <c r="B247" s="112"/>
      <c r="C247" s="114"/>
      <c r="D247" s="25" t="s">
        <v>22</v>
      </c>
      <c r="E247" s="25">
        <v>6102</v>
      </c>
      <c r="F247" s="37" t="s">
        <v>45</v>
      </c>
      <c r="G247" s="37" t="s">
        <v>138</v>
      </c>
      <c r="H247" s="26"/>
      <c r="I247" s="26"/>
      <c r="J247" s="26"/>
      <c r="K247" s="26"/>
      <c r="L247" s="26"/>
      <c r="M247" s="26">
        <f t="shared" si="442"/>
        <v>0</v>
      </c>
      <c r="N247" s="26"/>
      <c r="O247" s="26">
        <f t="shared" si="443"/>
        <v>0</v>
      </c>
      <c r="P247" s="26"/>
      <c r="Q247" s="26"/>
      <c r="R247" s="26">
        <v>6000</v>
      </c>
      <c r="S247" s="26"/>
      <c r="T247" s="26">
        <f t="shared" si="444"/>
        <v>6000</v>
      </c>
      <c r="U247" s="26">
        <v>5240.76</v>
      </c>
      <c r="V247" s="26">
        <f t="shared" si="445"/>
        <v>5240.76</v>
      </c>
      <c r="W247" s="26"/>
      <c r="X247" s="26"/>
      <c r="Y247" s="26"/>
      <c r="Z247" s="26"/>
      <c r="AA247" s="26"/>
      <c r="AB247" s="26"/>
      <c r="AC247" s="26"/>
      <c r="AD247" s="67">
        <f t="shared" si="214"/>
        <v>0</v>
      </c>
      <c r="AE247" s="26"/>
      <c r="AF247" s="26">
        <f t="shared" si="446"/>
        <v>5240.76</v>
      </c>
      <c r="AG247" s="26"/>
      <c r="AH247" s="26"/>
      <c r="AI247" s="26"/>
      <c r="AJ247" s="26"/>
      <c r="AK247" s="26"/>
      <c r="AL247" s="26"/>
      <c r="AM247" s="26"/>
      <c r="AN247" s="26"/>
      <c r="AO247" s="67">
        <f t="shared" si="330"/>
        <v>0</v>
      </c>
      <c r="AP247" s="67">
        <f t="shared" si="331"/>
        <v>0</v>
      </c>
      <c r="AQ247" s="67">
        <f t="shared" si="332"/>
        <v>0</v>
      </c>
      <c r="AR247" s="26"/>
      <c r="AS247" s="26"/>
      <c r="AT247" s="26"/>
      <c r="AU247" s="26"/>
      <c r="AV247" s="26"/>
      <c r="AW247" s="26">
        <f t="shared" si="333"/>
        <v>5240.76</v>
      </c>
      <c r="AX247" s="57" t="s">
        <v>79</v>
      </c>
      <c r="AY247" s="4">
        <v>2223777.65</v>
      </c>
      <c r="AZ247" s="41">
        <f>AW247+AW250-AY247</f>
        <v>0.10999999986961484</v>
      </c>
    </row>
    <row r="248" spans="1:52" s="4" customFormat="1" ht="45">
      <c r="A248" s="109"/>
      <c r="B248" s="112"/>
      <c r="C248" s="114"/>
      <c r="D248" s="25" t="s">
        <v>22</v>
      </c>
      <c r="E248" s="25">
        <v>6103</v>
      </c>
      <c r="F248" s="37" t="s">
        <v>46</v>
      </c>
      <c r="G248" s="37" t="s">
        <v>138</v>
      </c>
      <c r="H248" s="26"/>
      <c r="I248" s="26">
        <v>80000</v>
      </c>
      <c r="J248" s="26"/>
      <c r="K248" s="26"/>
      <c r="L248" s="26"/>
      <c r="M248" s="26">
        <f t="shared" si="442"/>
        <v>80000</v>
      </c>
      <c r="N248" s="26"/>
      <c r="O248" s="26">
        <f t="shared" si="443"/>
        <v>0</v>
      </c>
      <c r="P248" s="26">
        <f>60033.6134453781+966.386554621858</f>
        <v>60999.999999999956</v>
      </c>
      <c r="Q248" s="26">
        <f>74398.0529326868-966.386554621858+568.33362193506</f>
        <v>74000</v>
      </c>
      <c r="R248" s="26">
        <f>347883.381793221-568.33362193506+684.951828714053</f>
        <v>348000</v>
      </c>
      <c r="S248" s="26">
        <f>86044.7280233956-684.951828714053+640.223805318456</f>
        <v>86000</v>
      </c>
      <c r="T248" s="26">
        <f t="shared" si="444"/>
        <v>569000</v>
      </c>
      <c r="U248" s="26">
        <v>48308.07</v>
      </c>
      <c r="V248" s="26">
        <f t="shared" si="445"/>
        <v>48308.07</v>
      </c>
      <c r="W248" s="26"/>
      <c r="X248" s="26"/>
      <c r="Y248" s="26"/>
      <c r="Z248" s="26"/>
      <c r="AA248" s="26"/>
      <c r="AB248" s="26"/>
      <c r="AC248" s="26"/>
      <c r="AD248" s="67">
        <f t="shared" si="214"/>
        <v>0</v>
      </c>
      <c r="AE248" s="26"/>
      <c r="AF248" s="26">
        <f t="shared" si="446"/>
        <v>48308.07</v>
      </c>
      <c r="AG248" s="26"/>
      <c r="AH248" s="26"/>
      <c r="AI248" s="26"/>
      <c r="AJ248" s="26"/>
      <c r="AK248" s="26"/>
      <c r="AL248" s="26"/>
      <c r="AM248" s="26"/>
      <c r="AN248" s="26"/>
      <c r="AO248" s="67">
        <f t="shared" si="330"/>
        <v>0</v>
      </c>
      <c r="AP248" s="67">
        <f t="shared" si="331"/>
        <v>0</v>
      </c>
      <c r="AQ248" s="67">
        <f t="shared" si="332"/>
        <v>0</v>
      </c>
      <c r="AR248" s="26"/>
      <c r="AS248" s="26"/>
      <c r="AT248" s="26"/>
      <c r="AU248" s="26"/>
      <c r="AV248" s="26"/>
      <c r="AW248" s="26">
        <f t="shared" si="333"/>
        <v>48308.07</v>
      </c>
      <c r="AX248" s="57" t="s">
        <v>79</v>
      </c>
      <c r="AY248" s="4">
        <v>771432.92</v>
      </c>
      <c r="AZ248" s="41">
        <f>AW248+AW251-AY248</f>
        <v>33907.209999999846</v>
      </c>
    </row>
    <row r="249" spans="1:52" s="4" customFormat="1" ht="45">
      <c r="A249" s="109"/>
      <c r="B249" s="112"/>
      <c r="C249" s="114"/>
      <c r="D249" s="25" t="s">
        <v>22</v>
      </c>
      <c r="E249" s="25">
        <v>6001</v>
      </c>
      <c r="F249" s="37" t="s">
        <v>85</v>
      </c>
      <c r="G249" s="37" t="s">
        <v>138</v>
      </c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>
        <v>2984000</v>
      </c>
      <c r="X249" s="26">
        <v>858000</v>
      </c>
      <c r="Y249" s="26"/>
      <c r="Z249" s="26"/>
      <c r="AA249" s="26"/>
      <c r="AB249" s="26"/>
      <c r="AC249" s="26"/>
      <c r="AD249" s="67">
        <f t="shared" si="214"/>
        <v>3842000</v>
      </c>
      <c r="AE249" s="26">
        <v>2110568.2799999998</v>
      </c>
      <c r="AF249" s="26">
        <f t="shared" si="446"/>
        <v>2110568.2799999998</v>
      </c>
      <c r="AG249" s="26">
        <f>36713.51+286.49</f>
        <v>37000</v>
      </c>
      <c r="AH249" s="26"/>
      <c r="AI249" s="26">
        <f>1659903.15-286.49+383.34</f>
        <v>1660000</v>
      </c>
      <c r="AJ249" s="26"/>
      <c r="AK249" s="26"/>
      <c r="AL249" s="26"/>
      <c r="AM249" s="26"/>
      <c r="AN249" s="26"/>
      <c r="AO249" s="67">
        <f t="shared" si="330"/>
        <v>1697000</v>
      </c>
      <c r="AP249" s="67">
        <f t="shared" si="331"/>
        <v>0</v>
      </c>
      <c r="AQ249" s="67">
        <f t="shared" si="332"/>
        <v>1697000</v>
      </c>
      <c r="AR249" s="26">
        <v>-383.34</v>
      </c>
      <c r="AS249" s="26"/>
      <c r="AT249" s="26"/>
      <c r="AU249" s="26"/>
      <c r="AV249" s="26"/>
      <c r="AW249" s="26">
        <f t="shared" si="333"/>
        <v>3807184.94</v>
      </c>
      <c r="AX249" s="57" t="s">
        <v>48</v>
      </c>
    </row>
    <row r="250" spans="1:52" s="4" customFormat="1" ht="45">
      <c r="A250" s="109"/>
      <c r="B250" s="112"/>
      <c r="C250" s="114"/>
      <c r="D250" s="25" t="s">
        <v>22</v>
      </c>
      <c r="E250" s="25">
        <v>6002</v>
      </c>
      <c r="F250" s="37" t="s">
        <v>45</v>
      </c>
      <c r="G250" s="37" t="s">
        <v>138</v>
      </c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>
        <v>219000</v>
      </c>
      <c r="X250" s="26"/>
      <c r="Y250" s="26"/>
      <c r="Z250" s="26"/>
      <c r="AA250" s="26"/>
      <c r="AB250" s="26"/>
      <c r="AC250" s="26"/>
      <c r="AD250" s="67">
        <f t="shared" ref="AD250:AD251" si="447">SUM(W250:Z250)</f>
        <v>219000</v>
      </c>
      <c r="AE250" s="26">
        <v>9171.33</v>
      </c>
      <c r="AF250" s="26">
        <f t="shared" si="446"/>
        <v>9171.33</v>
      </c>
      <c r="AG250" s="26"/>
      <c r="AH250" s="26"/>
      <c r="AI250" s="26">
        <f>2209365.67+634.33</f>
        <v>2210000</v>
      </c>
      <c r="AJ250" s="26"/>
      <c r="AK250" s="26"/>
      <c r="AL250" s="26"/>
      <c r="AM250" s="26"/>
      <c r="AN250" s="26"/>
      <c r="AO250" s="67">
        <f t="shared" si="330"/>
        <v>2210000</v>
      </c>
      <c r="AP250" s="67">
        <f t="shared" si="331"/>
        <v>0</v>
      </c>
      <c r="AQ250" s="67">
        <f t="shared" si="332"/>
        <v>2210000</v>
      </c>
      <c r="AR250" s="26">
        <v>-634.33000000000004</v>
      </c>
      <c r="AS250" s="26"/>
      <c r="AT250" s="26"/>
      <c r="AU250" s="26"/>
      <c r="AV250" s="26"/>
      <c r="AW250" s="26">
        <f t="shared" si="333"/>
        <v>2218537</v>
      </c>
      <c r="AX250" s="57" t="s">
        <v>48</v>
      </c>
    </row>
    <row r="251" spans="1:52" s="4" customFormat="1" ht="45">
      <c r="A251" s="109"/>
      <c r="B251" s="112"/>
      <c r="C251" s="114"/>
      <c r="D251" s="25" t="s">
        <v>22</v>
      </c>
      <c r="E251" s="25">
        <v>6003</v>
      </c>
      <c r="F251" s="37" t="s">
        <v>46</v>
      </c>
      <c r="G251" s="37" t="s">
        <v>138</v>
      </c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>
        <v>567000</v>
      </c>
      <c r="X251" s="26">
        <v>157000</v>
      </c>
      <c r="Y251" s="26"/>
      <c r="Z251" s="26"/>
      <c r="AA251" s="26"/>
      <c r="AB251" s="26"/>
      <c r="AC251" s="26"/>
      <c r="AD251" s="67">
        <f t="shared" si="447"/>
        <v>724000</v>
      </c>
      <c r="AE251" s="26">
        <v>401007.97</v>
      </c>
      <c r="AF251" s="26">
        <f t="shared" si="446"/>
        <v>401007.97</v>
      </c>
      <c r="AG251" s="26"/>
      <c r="AH251" s="26"/>
      <c r="AI251" s="26">
        <f>356024.09+975.91</f>
        <v>357000</v>
      </c>
      <c r="AJ251" s="26"/>
      <c r="AK251" s="26"/>
      <c r="AL251" s="26"/>
      <c r="AM251" s="26"/>
      <c r="AN251" s="26"/>
      <c r="AO251" s="67">
        <f t="shared" si="330"/>
        <v>357000</v>
      </c>
      <c r="AP251" s="67">
        <f t="shared" si="331"/>
        <v>0</v>
      </c>
      <c r="AQ251" s="67">
        <f t="shared" si="332"/>
        <v>357000</v>
      </c>
      <c r="AR251" s="26">
        <v>-975.91</v>
      </c>
      <c r="AS251" s="26"/>
      <c r="AT251" s="26"/>
      <c r="AU251" s="26"/>
      <c r="AV251" s="26"/>
      <c r="AW251" s="26">
        <f t="shared" si="333"/>
        <v>757032.05999999994</v>
      </c>
      <c r="AX251" s="57" t="s">
        <v>48</v>
      </c>
    </row>
    <row r="252" spans="1:52" s="4" customFormat="1" ht="45">
      <c r="A252" s="109"/>
      <c r="B252" s="112"/>
      <c r="C252" s="114"/>
      <c r="D252" s="25" t="s">
        <v>22</v>
      </c>
      <c r="E252" s="25"/>
      <c r="F252" s="25" t="s">
        <v>29</v>
      </c>
      <c r="G252" s="37" t="s">
        <v>138</v>
      </c>
      <c r="H252" s="26">
        <f>SUM(H246:H248)</f>
        <v>0</v>
      </c>
      <c r="I252" s="26">
        <f t="shared" ref="I252:U252" si="448">SUM(I246:I248)</f>
        <v>500000</v>
      </c>
      <c r="J252" s="26">
        <f t="shared" si="448"/>
        <v>0</v>
      </c>
      <c r="K252" s="26">
        <f t="shared" si="448"/>
        <v>0</v>
      </c>
      <c r="L252" s="26">
        <f t="shared" si="448"/>
        <v>0</v>
      </c>
      <c r="M252" s="26">
        <f t="shared" si="448"/>
        <v>500000</v>
      </c>
      <c r="N252" s="26">
        <f t="shared" si="448"/>
        <v>118200</v>
      </c>
      <c r="O252" s="26">
        <f t="shared" si="448"/>
        <v>118200</v>
      </c>
      <c r="P252" s="26">
        <f t="shared" si="448"/>
        <v>377000.00000000006</v>
      </c>
      <c r="Q252" s="26">
        <f t="shared" si="448"/>
        <v>466000</v>
      </c>
      <c r="R252" s="26">
        <f t="shared" si="448"/>
        <v>2185000</v>
      </c>
      <c r="S252" s="26">
        <f t="shared" si="448"/>
        <v>539000</v>
      </c>
      <c r="T252" s="26">
        <f t="shared" si="448"/>
        <v>3567000</v>
      </c>
      <c r="U252" s="26">
        <f t="shared" si="448"/>
        <v>319650.98000000004</v>
      </c>
      <c r="V252" s="26">
        <f>SUM(V246:V251)</f>
        <v>437850.98000000004</v>
      </c>
      <c r="W252" s="26">
        <f t="shared" ref="W252:AW252" si="449">SUM(W246:W251)</f>
        <v>3770000</v>
      </c>
      <c r="X252" s="26">
        <f t="shared" si="449"/>
        <v>1015000</v>
      </c>
      <c r="Y252" s="26">
        <f t="shared" si="449"/>
        <v>0</v>
      </c>
      <c r="Z252" s="26">
        <f t="shared" si="449"/>
        <v>0</v>
      </c>
      <c r="AA252" s="26"/>
      <c r="AB252" s="26"/>
      <c r="AC252" s="26"/>
      <c r="AD252" s="67">
        <f t="shared" si="449"/>
        <v>4785000</v>
      </c>
      <c r="AE252" s="26">
        <f t="shared" si="449"/>
        <v>2520747.58</v>
      </c>
      <c r="AF252" s="26">
        <f t="shared" si="449"/>
        <v>2958598.5599999996</v>
      </c>
      <c r="AG252" s="26">
        <f t="shared" si="449"/>
        <v>37000</v>
      </c>
      <c r="AH252" s="26">
        <f t="shared" si="449"/>
        <v>0</v>
      </c>
      <c r="AI252" s="26">
        <f t="shared" si="449"/>
        <v>4227000</v>
      </c>
      <c r="AJ252" s="26">
        <f t="shared" si="449"/>
        <v>0</v>
      </c>
      <c r="AK252" s="26">
        <f t="shared" si="449"/>
        <v>0</v>
      </c>
      <c r="AL252" s="26">
        <f t="shared" si="449"/>
        <v>0</v>
      </c>
      <c r="AM252" s="26">
        <f t="shared" si="449"/>
        <v>0</v>
      </c>
      <c r="AN252" s="26">
        <f t="shared" si="449"/>
        <v>0</v>
      </c>
      <c r="AO252" s="67">
        <f t="shared" si="449"/>
        <v>4264000</v>
      </c>
      <c r="AP252" s="67">
        <f t="shared" si="449"/>
        <v>0</v>
      </c>
      <c r="AQ252" s="67">
        <f t="shared" si="449"/>
        <v>4264000</v>
      </c>
      <c r="AR252" s="26">
        <f t="shared" si="449"/>
        <v>-1993.58</v>
      </c>
      <c r="AS252" s="26">
        <f t="shared" si="449"/>
        <v>0</v>
      </c>
      <c r="AT252" s="26">
        <f t="shared" si="449"/>
        <v>0</v>
      </c>
      <c r="AU252" s="26">
        <f t="shared" si="449"/>
        <v>0</v>
      </c>
      <c r="AV252" s="26">
        <f t="shared" si="449"/>
        <v>0</v>
      </c>
      <c r="AW252" s="26">
        <f t="shared" si="449"/>
        <v>7220604.9799999995</v>
      </c>
      <c r="AX252" s="57" t="s">
        <v>48</v>
      </c>
      <c r="AY252" s="4">
        <v>7220604.0999999996</v>
      </c>
      <c r="AZ252" s="4">
        <f t="shared" si="276"/>
        <v>0.87999999988824129</v>
      </c>
    </row>
    <row r="253" spans="1:52" s="4" customFormat="1">
      <c r="A253" s="110"/>
      <c r="B253" s="151"/>
      <c r="C253" s="115"/>
      <c r="D253" s="28" t="s">
        <v>22</v>
      </c>
      <c r="E253" s="28"/>
      <c r="F253" s="28" t="s">
        <v>40</v>
      </c>
      <c r="G253" s="28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>
        <v>20000</v>
      </c>
      <c r="S253" s="30"/>
      <c r="T253" s="30">
        <f t="shared" si="444"/>
        <v>20000</v>
      </c>
      <c r="U253" s="30">
        <v>1310.19</v>
      </c>
      <c r="V253" s="30">
        <f>O253+U253</f>
        <v>1310.19</v>
      </c>
      <c r="W253" s="30"/>
      <c r="X253" s="30"/>
      <c r="Y253" s="30"/>
      <c r="Z253" s="30"/>
      <c r="AA253" s="30"/>
      <c r="AB253" s="30"/>
      <c r="AC253" s="30"/>
      <c r="AD253" s="68">
        <f t="shared" ref="AD253:AD323" si="450">SUM(W253:Z253)</f>
        <v>0</v>
      </c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68">
        <f t="shared" si="330"/>
        <v>0</v>
      </c>
      <c r="AP253" s="68">
        <f t="shared" si="331"/>
        <v>0</v>
      </c>
      <c r="AQ253" s="68">
        <f t="shared" si="332"/>
        <v>0</v>
      </c>
      <c r="AR253" s="30"/>
      <c r="AS253" s="30"/>
      <c r="AT253" s="30"/>
      <c r="AU253" s="30"/>
      <c r="AV253" s="30"/>
      <c r="AW253" s="30">
        <f t="shared" si="333"/>
        <v>0</v>
      </c>
      <c r="AX253" s="58"/>
      <c r="AZ253" s="4">
        <f t="shared" si="276"/>
        <v>0</v>
      </c>
    </row>
    <row r="254" spans="1:52" s="5" customFormat="1" ht="45">
      <c r="A254" s="149" t="s">
        <v>116</v>
      </c>
      <c r="B254" s="133" t="s">
        <v>23</v>
      </c>
      <c r="C254" s="150">
        <v>65</v>
      </c>
      <c r="D254" s="7" t="s">
        <v>21</v>
      </c>
      <c r="E254" s="7">
        <v>42028801</v>
      </c>
      <c r="F254" s="8" t="s">
        <v>44</v>
      </c>
      <c r="G254" s="8" t="s">
        <v>89</v>
      </c>
      <c r="H254" s="9"/>
      <c r="I254" s="9"/>
      <c r="J254" s="9"/>
      <c r="K254" s="9"/>
      <c r="L254" s="9"/>
      <c r="M254" s="9">
        <f t="shared" ref="M254:M256" si="451">SUM(I254:L254)</f>
        <v>0</v>
      </c>
      <c r="N254" s="9"/>
      <c r="O254" s="9">
        <f t="shared" ref="O254:O259" si="452">H254+N254</f>
        <v>0</v>
      </c>
      <c r="P254" s="9"/>
      <c r="Q254" s="9"/>
      <c r="R254" s="9"/>
      <c r="S254" s="9"/>
      <c r="T254" s="9">
        <f>SUM(P254:S254)</f>
        <v>0</v>
      </c>
      <c r="U254" s="9"/>
      <c r="V254" s="9">
        <f t="shared" ref="V254:V259" si="453">O254+U254</f>
        <v>0</v>
      </c>
      <c r="W254" s="9"/>
      <c r="X254" s="9"/>
      <c r="Y254" s="9"/>
      <c r="Z254" s="9"/>
      <c r="AA254" s="9"/>
      <c r="AB254" s="9"/>
      <c r="AC254" s="9"/>
      <c r="AD254" s="66">
        <f t="shared" si="450"/>
        <v>0</v>
      </c>
      <c r="AE254" s="9"/>
      <c r="AF254" s="9">
        <f t="shared" ref="AF254:AF259" si="454">V254+AE254</f>
        <v>0</v>
      </c>
      <c r="AG254" s="9"/>
      <c r="AH254" s="9"/>
      <c r="AI254" s="9"/>
      <c r="AJ254" s="9"/>
      <c r="AK254" s="9"/>
      <c r="AL254" s="9"/>
      <c r="AM254" s="9"/>
      <c r="AN254" s="9"/>
      <c r="AO254" s="66">
        <f t="shared" si="330"/>
        <v>0</v>
      </c>
      <c r="AP254" s="66">
        <f t="shared" si="331"/>
        <v>0</v>
      </c>
      <c r="AQ254" s="66">
        <f t="shared" si="332"/>
        <v>0</v>
      </c>
      <c r="AR254" s="9"/>
      <c r="AS254" s="9"/>
      <c r="AT254" s="9"/>
      <c r="AU254" s="9"/>
      <c r="AV254" s="9"/>
      <c r="AW254" s="9">
        <f t="shared" si="333"/>
        <v>0</v>
      </c>
      <c r="AX254" s="9" t="s">
        <v>48</v>
      </c>
      <c r="AY254" s="5">
        <v>0</v>
      </c>
      <c r="AZ254" s="5">
        <f t="shared" si="276"/>
        <v>0</v>
      </c>
    </row>
    <row r="255" spans="1:52" s="5" customFormat="1" ht="45">
      <c r="A255" s="149"/>
      <c r="B255" s="133"/>
      <c r="C255" s="150"/>
      <c r="D255" s="7" t="s">
        <v>21</v>
      </c>
      <c r="E255" s="7">
        <v>42028802</v>
      </c>
      <c r="F255" s="8" t="s">
        <v>45</v>
      </c>
      <c r="G255" s="8" t="s">
        <v>89</v>
      </c>
      <c r="H255" s="9"/>
      <c r="I255" s="9"/>
      <c r="J255" s="9"/>
      <c r="K255" s="9"/>
      <c r="L255" s="9"/>
      <c r="M255" s="9">
        <f t="shared" si="451"/>
        <v>0</v>
      </c>
      <c r="N255" s="9"/>
      <c r="O255" s="9">
        <f t="shared" si="452"/>
        <v>0</v>
      </c>
      <c r="P255" s="9"/>
      <c r="Q255" s="9"/>
      <c r="R255" s="9"/>
      <c r="S255" s="9"/>
      <c r="T255" s="9">
        <f t="shared" ref="T255:T259" si="455">SUM(P255:S255)</f>
        <v>0</v>
      </c>
      <c r="U255" s="9"/>
      <c r="V255" s="9">
        <f t="shared" si="453"/>
        <v>0</v>
      </c>
      <c r="W255" s="9"/>
      <c r="X255" s="9"/>
      <c r="Y255" s="9"/>
      <c r="Z255" s="9"/>
      <c r="AA255" s="9"/>
      <c r="AB255" s="9"/>
      <c r="AC255" s="9"/>
      <c r="AD255" s="66">
        <f t="shared" si="450"/>
        <v>0</v>
      </c>
      <c r="AE255" s="9"/>
      <c r="AF255" s="9">
        <f t="shared" si="454"/>
        <v>0</v>
      </c>
      <c r="AG255" s="9"/>
      <c r="AH255" s="9"/>
      <c r="AI255" s="9"/>
      <c r="AJ255" s="9"/>
      <c r="AK255" s="9"/>
      <c r="AL255" s="9"/>
      <c r="AM255" s="9"/>
      <c r="AN255" s="9"/>
      <c r="AO255" s="66">
        <f t="shared" si="330"/>
        <v>0</v>
      </c>
      <c r="AP255" s="66">
        <f t="shared" si="331"/>
        <v>0</v>
      </c>
      <c r="AQ255" s="66">
        <f t="shared" si="332"/>
        <v>0</v>
      </c>
      <c r="AR255" s="9"/>
      <c r="AS255" s="9"/>
      <c r="AT255" s="9"/>
      <c r="AU255" s="9"/>
      <c r="AV255" s="9"/>
      <c r="AW255" s="9">
        <f t="shared" si="333"/>
        <v>0</v>
      </c>
      <c r="AX255" s="9" t="s">
        <v>48</v>
      </c>
      <c r="AY255" s="5">
        <v>0</v>
      </c>
      <c r="AZ255" s="5">
        <f t="shared" si="276"/>
        <v>0</v>
      </c>
    </row>
    <row r="256" spans="1:52" s="5" customFormat="1" ht="45">
      <c r="A256" s="149"/>
      <c r="B256" s="133"/>
      <c r="C256" s="150"/>
      <c r="D256" s="7" t="s">
        <v>21</v>
      </c>
      <c r="E256" s="7">
        <v>42028803</v>
      </c>
      <c r="F256" s="8" t="s">
        <v>46</v>
      </c>
      <c r="G256" s="8" t="s">
        <v>89</v>
      </c>
      <c r="H256" s="9"/>
      <c r="I256" s="9"/>
      <c r="J256" s="9"/>
      <c r="K256" s="9"/>
      <c r="L256" s="9"/>
      <c r="M256" s="9">
        <f t="shared" si="451"/>
        <v>0</v>
      </c>
      <c r="N256" s="9"/>
      <c r="O256" s="9">
        <f t="shared" si="452"/>
        <v>0</v>
      </c>
      <c r="P256" s="9"/>
      <c r="Q256" s="9"/>
      <c r="R256" s="9"/>
      <c r="S256" s="9"/>
      <c r="T256" s="9">
        <f t="shared" si="455"/>
        <v>0</v>
      </c>
      <c r="U256" s="9"/>
      <c r="V256" s="9">
        <f t="shared" si="453"/>
        <v>0</v>
      </c>
      <c r="W256" s="9"/>
      <c r="X256" s="9"/>
      <c r="Y256" s="9"/>
      <c r="Z256" s="9"/>
      <c r="AA256" s="9"/>
      <c r="AB256" s="9"/>
      <c r="AC256" s="9"/>
      <c r="AD256" s="66">
        <f t="shared" si="450"/>
        <v>0</v>
      </c>
      <c r="AE256" s="9"/>
      <c r="AF256" s="9">
        <f t="shared" si="454"/>
        <v>0</v>
      </c>
      <c r="AG256" s="9"/>
      <c r="AH256" s="9"/>
      <c r="AI256" s="9"/>
      <c r="AJ256" s="9"/>
      <c r="AK256" s="9"/>
      <c r="AL256" s="9"/>
      <c r="AM256" s="9"/>
      <c r="AN256" s="9"/>
      <c r="AO256" s="66">
        <f t="shared" si="330"/>
        <v>0</v>
      </c>
      <c r="AP256" s="66">
        <f t="shared" si="331"/>
        <v>0</v>
      </c>
      <c r="AQ256" s="66">
        <f t="shared" si="332"/>
        <v>0</v>
      </c>
      <c r="AR256" s="9"/>
      <c r="AS256" s="9"/>
      <c r="AT256" s="9"/>
      <c r="AU256" s="9"/>
      <c r="AV256" s="9"/>
      <c r="AW256" s="9">
        <f t="shared" si="333"/>
        <v>0</v>
      </c>
      <c r="AX256" s="9" t="s">
        <v>48</v>
      </c>
      <c r="AY256" s="5">
        <v>0</v>
      </c>
      <c r="AZ256" s="5">
        <f t="shared" si="276"/>
        <v>0</v>
      </c>
    </row>
    <row r="257" spans="1:52" s="5" customFormat="1" ht="45">
      <c r="A257" s="149"/>
      <c r="B257" s="133"/>
      <c r="C257" s="150"/>
      <c r="D257" s="7" t="s">
        <v>21</v>
      </c>
      <c r="E257" s="7">
        <v>43024901</v>
      </c>
      <c r="F257" s="8" t="s">
        <v>44</v>
      </c>
      <c r="G257" s="8" t="s">
        <v>89</v>
      </c>
      <c r="H257" s="9"/>
      <c r="I257" s="9"/>
      <c r="J257" s="9"/>
      <c r="K257" s="9"/>
      <c r="L257" s="9"/>
      <c r="M257" s="9"/>
      <c r="N257" s="9"/>
      <c r="O257" s="9">
        <f t="shared" si="452"/>
        <v>0</v>
      </c>
      <c r="P257" s="9"/>
      <c r="Q257" s="9">
        <v>1139000</v>
      </c>
      <c r="R257" s="9">
        <v>0</v>
      </c>
      <c r="S257" s="9">
        <v>1072000</v>
      </c>
      <c r="T257" s="9">
        <f t="shared" si="455"/>
        <v>2211000</v>
      </c>
      <c r="U257" s="9">
        <v>63950</v>
      </c>
      <c r="V257" s="9">
        <f t="shared" si="453"/>
        <v>63950</v>
      </c>
      <c r="W257" s="9">
        <v>131000</v>
      </c>
      <c r="X257" s="9">
        <v>1571000</v>
      </c>
      <c r="Y257" s="9">
        <v>445000</v>
      </c>
      <c r="Z257" s="9"/>
      <c r="AA257" s="9"/>
      <c r="AB257" s="9"/>
      <c r="AC257" s="9"/>
      <c r="AD257" s="66">
        <f t="shared" si="450"/>
        <v>2147000</v>
      </c>
      <c r="AE257" s="9">
        <v>1754207.21</v>
      </c>
      <c r="AF257" s="9">
        <f t="shared" si="454"/>
        <v>1818157.21</v>
      </c>
      <c r="AG257" s="9"/>
      <c r="AH257" s="9"/>
      <c r="AI257" s="9"/>
      <c r="AJ257" s="9"/>
      <c r="AK257" s="9"/>
      <c r="AL257" s="9"/>
      <c r="AM257" s="9"/>
      <c r="AN257" s="9"/>
      <c r="AO257" s="66">
        <f t="shared" si="330"/>
        <v>0</v>
      </c>
      <c r="AP257" s="66">
        <f t="shared" si="331"/>
        <v>0</v>
      </c>
      <c r="AQ257" s="66">
        <f t="shared" si="332"/>
        <v>0</v>
      </c>
      <c r="AR257" s="9"/>
      <c r="AS257" s="9"/>
      <c r="AT257" s="9"/>
      <c r="AU257" s="9"/>
      <c r="AV257" s="9"/>
      <c r="AW257" s="9">
        <f t="shared" si="333"/>
        <v>1818157.21</v>
      </c>
      <c r="AX257" s="9" t="s">
        <v>48</v>
      </c>
      <c r="AY257" s="5">
        <v>2210061.77</v>
      </c>
      <c r="AZ257" s="5">
        <f t="shared" si="276"/>
        <v>-391904.56000000006</v>
      </c>
    </row>
    <row r="258" spans="1:52" s="5" customFormat="1" ht="45">
      <c r="A258" s="149"/>
      <c r="B258" s="133"/>
      <c r="C258" s="150"/>
      <c r="D258" s="7" t="s">
        <v>21</v>
      </c>
      <c r="E258" s="7">
        <v>43024902</v>
      </c>
      <c r="F258" s="8" t="s">
        <v>45</v>
      </c>
      <c r="G258" s="8" t="s">
        <v>89</v>
      </c>
      <c r="H258" s="9"/>
      <c r="I258" s="9"/>
      <c r="J258" s="9"/>
      <c r="K258" s="9"/>
      <c r="L258" s="9"/>
      <c r="M258" s="9"/>
      <c r="N258" s="9"/>
      <c r="O258" s="9">
        <f t="shared" si="452"/>
        <v>0</v>
      </c>
      <c r="P258" s="9"/>
      <c r="Q258" s="9"/>
      <c r="R258" s="9"/>
      <c r="S258" s="9"/>
      <c r="T258" s="9">
        <f t="shared" si="455"/>
        <v>0</v>
      </c>
      <c r="U258" s="9"/>
      <c r="V258" s="9">
        <f t="shared" si="453"/>
        <v>0</v>
      </c>
      <c r="W258" s="9"/>
      <c r="X258" s="9"/>
      <c r="Y258" s="9"/>
      <c r="Z258" s="9"/>
      <c r="AA258" s="9"/>
      <c r="AB258" s="9"/>
      <c r="AC258" s="9"/>
      <c r="AD258" s="66">
        <f t="shared" si="450"/>
        <v>0</v>
      </c>
      <c r="AE258" s="9"/>
      <c r="AF258" s="9">
        <f t="shared" si="454"/>
        <v>0</v>
      </c>
      <c r="AG258" s="9"/>
      <c r="AH258" s="9"/>
      <c r="AI258" s="9"/>
      <c r="AJ258" s="9"/>
      <c r="AK258" s="9"/>
      <c r="AL258" s="9"/>
      <c r="AM258" s="9"/>
      <c r="AN258" s="9"/>
      <c r="AO258" s="66">
        <f t="shared" si="330"/>
        <v>0</v>
      </c>
      <c r="AP258" s="66">
        <f t="shared" si="331"/>
        <v>0</v>
      </c>
      <c r="AQ258" s="66">
        <f t="shared" si="332"/>
        <v>0</v>
      </c>
      <c r="AR258" s="9"/>
      <c r="AS258" s="9"/>
      <c r="AT258" s="9"/>
      <c r="AU258" s="9"/>
      <c r="AV258" s="9"/>
      <c r="AW258" s="9">
        <f t="shared" si="333"/>
        <v>0</v>
      </c>
      <c r="AX258" s="9" t="s">
        <v>48</v>
      </c>
      <c r="AY258" s="5">
        <v>0</v>
      </c>
      <c r="AZ258" s="5">
        <f t="shared" si="276"/>
        <v>0</v>
      </c>
    </row>
    <row r="259" spans="1:52" s="5" customFormat="1" ht="45">
      <c r="A259" s="149"/>
      <c r="B259" s="133"/>
      <c r="C259" s="150"/>
      <c r="D259" s="7" t="s">
        <v>21</v>
      </c>
      <c r="E259" s="7">
        <v>43024903</v>
      </c>
      <c r="F259" s="8" t="s">
        <v>46</v>
      </c>
      <c r="G259" s="8" t="s">
        <v>89</v>
      </c>
      <c r="H259" s="9"/>
      <c r="I259" s="9"/>
      <c r="J259" s="9"/>
      <c r="K259" s="9"/>
      <c r="L259" s="9"/>
      <c r="M259" s="9"/>
      <c r="N259" s="9"/>
      <c r="O259" s="9">
        <f t="shared" si="452"/>
        <v>0</v>
      </c>
      <c r="P259" s="9"/>
      <c r="Q259" s="9">
        <v>217000</v>
      </c>
      <c r="R259" s="9">
        <v>0</v>
      </c>
      <c r="S259" s="9">
        <v>203000</v>
      </c>
      <c r="T259" s="9">
        <f t="shared" si="455"/>
        <v>420000</v>
      </c>
      <c r="U259" s="9">
        <v>12150.5</v>
      </c>
      <c r="V259" s="9">
        <f t="shared" si="453"/>
        <v>12150.5</v>
      </c>
      <c r="W259" s="9">
        <v>25000</v>
      </c>
      <c r="X259" s="9">
        <v>299000</v>
      </c>
      <c r="Y259" s="9">
        <v>84000</v>
      </c>
      <c r="Z259" s="9"/>
      <c r="AA259" s="9"/>
      <c r="AB259" s="9"/>
      <c r="AC259" s="9"/>
      <c r="AD259" s="66">
        <f t="shared" si="450"/>
        <v>408000</v>
      </c>
      <c r="AE259" s="9">
        <v>349680.14</v>
      </c>
      <c r="AF259" s="9">
        <f t="shared" si="454"/>
        <v>361830.64</v>
      </c>
      <c r="AG259" s="9"/>
      <c r="AH259" s="9"/>
      <c r="AI259" s="9"/>
      <c r="AJ259" s="9"/>
      <c r="AK259" s="9"/>
      <c r="AL259" s="9"/>
      <c r="AM259" s="9"/>
      <c r="AN259" s="9"/>
      <c r="AO259" s="66">
        <f t="shared" si="330"/>
        <v>0</v>
      </c>
      <c r="AP259" s="66">
        <f t="shared" si="331"/>
        <v>0</v>
      </c>
      <c r="AQ259" s="66">
        <f t="shared" si="332"/>
        <v>0</v>
      </c>
      <c r="AR259" s="9"/>
      <c r="AS259" s="9"/>
      <c r="AT259" s="9"/>
      <c r="AU259" s="9"/>
      <c r="AV259" s="9"/>
      <c r="AW259" s="9">
        <f t="shared" si="333"/>
        <v>361830.64</v>
      </c>
      <c r="AX259" s="9" t="s">
        <v>48</v>
      </c>
      <c r="AY259" s="5">
        <v>419911.73629999999</v>
      </c>
      <c r="AZ259" s="5">
        <f t="shared" si="276"/>
        <v>-58081.096299999976</v>
      </c>
    </row>
    <row r="260" spans="1:52" s="5" customFormat="1" ht="45">
      <c r="A260" s="149"/>
      <c r="B260" s="133"/>
      <c r="C260" s="150"/>
      <c r="D260" s="7" t="s">
        <v>21</v>
      </c>
      <c r="E260" s="7"/>
      <c r="F260" s="7" t="s">
        <v>19</v>
      </c>
      <c r="G260" s="8" t="s">
        <v>89</v>
      </c>
      <c r="H260" s="9">
        <f>H265-H254-H255-H256-H257-H258-H259</f>
        <v>0</v>
      </c>
      <c r="I260" s="9">
        <f t="shared" ref="I260:M260" si="456">I265-I254-I255-I256</f>
        <v>0</v>
      </c>
      <c r="J260" s="9">
        <f t="shared" si="456"/>
        <v>0</v>
      </c>
      <c r="K260" s="9">
        <f t="shared" si="456"/>
        <v>0</v>
      </c>
      <c r="L260" s="9">
        <f t="shared" si="456"/>
        <v>0</v>
      </c>
      <c r="M260" s="9">
        <f t="shared" si="456"/>
        <v>0</v>
      </c>
      <c r="N260" s="9">
        <f t="shared" ref="N260:T260" si="457">N265-N254-N255-N256-N257-N258-N259</f>
        <v>0</v>
      </c>
      <c r="O260" s="9">
        <f t="shared" si="457"/>
        <v>0</v>
      </c>
      <c r="P260" s="9">
        <f t="shared" si="457"/>
        <v>0</v>
      </c>
      <c r="Q260" s="9">
        <f t="shared" si="457"/>
        <v>0</v>
      </c>
      <c r="R260" s="9">
        <f t="shared" si="457"/>
        <v>0</v>
      </c>
      <c r="S260" s="9">
        <f t="shared" si="457"/>
        <v>0</v>
      </c>
      <c r="T260" s="9">
        <f t="shared" si="457"/>
        <v>0</v>
      </c>
      <c r="U260" s="9">
        <f t="shared" ref="U260" si="458">U265-U254-U255-U256-U257-U258-U259</f>
        <v>0</v>
      </c>
      <c r="V260" s="9">
        <f>V265-V254-V255-V256-V257-V258-V259</f>
        <v>0</v>
      </c>
      <c r="W260" s="9">
        <f t="shared" ref="W260:AD260" si="459">W265-W254-W255-W256-W257-W258-W259</f>
        <v>0</v>
      </c>
      <c r="X260" s="9">
        <f t="shared" si="459"/>
        <v>0</v>
      </c>
      <c r="Y260" s="9">
        <f t="shared" si="459"/>
        <v>0</v>
      </c>
      <c r="Z260" s="9">
        <f t="shared" si="459"/>
        <v>71000</v>
      </c>
      <c r="AA260" s="9"/>
      <c r="AB260" s="9"/>
      <c r="AC260" s="9"/>
      <c r="AD260" s="66">
        <f t="shared" si="459"/>
        <v>71000</v>
      </c>
      <c r="AE260" s="9">
        <f t="shared" ref="AE260:AF260" si="460">AE265-AE254-AE255-AE256-AE257-AE258-AE259</f>
        <v>70555.10000000021</v>
      </c>
      <c r="AF260" s="9">
        <f t="shared" si="460"/>
        <v>70555.10000000021</v>
      </c>
      <c r="AG260" s="9">
        <f t="shared" ref="AG260:AW260" si="461">AG265-AG254-AG255-AG256-AG257-AG258-AG259</f>
        <v>2000</v>
      </c>
      <c r="AH260" s="9">
        <f t="shared" si="461"/>
        <v>0</v>
      </c>
      <c r="AI260" s="9">
        <f t="shared" si="461"/>
        <v>0</v>
      </c>
      <c r="AJ260" s="9">
        <f t="shared" si="461"/>
        <v>0</v>
      </c>
      <c r="AK260" s="9">
        <f t="shared" si="461"/>
        <v>0</v>
      </c>
      <c r="AL260" s="9">
        <f t="shared" si="461"/>
        <v>0</v>
      </c>
      <c r="AM260" s="9">
        <f t="shared" si="461"/>
        <v>0</v>
      </c>
      <c r="AN260" s="9">
        <f t="shared" si="461"/>
        <v>0</v>
      </c>
      <c r="AO260" s="66">
        <f t="shared" si="461"/>
        <v>2000</v>
      </c>
      <c r="AP260" s="66">
        <f t="shared" si="461"/>
        <v>0</v>
      </c>
      <c r="AQ260" s="66">
        <f t="shared" si="461"/>
        <v>2000</v>
      </c>
      <c r="AR260" s="9">
        <f t="shared" si="461"/>
        <v>-790</v>
      </c>
      <c r="AS260" s="9">
        <f t="shared" si="461"/>
        <v>0</v>
      </c>
      <c r="AT260" s="9">
        <f t="shared" si="461"/>
        <v>0</v>
      </c>
      <c r="AU260" s="9">
        <f t="shared" si="461"/>
        <v>0</v>
      </c>
      <c r="AV260" s="9">
        <f t="shared" si="461"/>
        <v>0</v>
      </c>
      <c r="AW260" s="9">
        <f t="shared" si="461"/>
        <v>71765.10000000021</v>
      </c>
      <c r="AX260" s="9" t="s">
        <v>48</v>
      </c>
      <c r="AY260" s="5">
        <v>0</v>
      </c>
      <c r="AZ260" s="5">
        <f t="shared" si="276"/>
        <v>71765.10000000021</v>
      </c>
    </row>
    <row r="261" spans="1:52" s="5" customFormat="1" ht="45">
      <c r="A261" s="149"/>
      <c r="B261" s="133"/>
      <c r="C261" s="150"/>
      <c r="D261" s="7" t="s">
        <v>21</v>
      </c>
      <c r="E261" s="7"/>
      <c r="F261" s="7" t="s">
        <v>47</v>
      </c>
      <c r="G261" s="8" t="s">
        <v>89</v>
      </c>
      <c r="H261" s="9">
        <f t="shared" ref="H261:M261" si="462">SUM(H254:H260)</f>
        <v>0</v>
      </c>
      <c r="I261" s="9">
        <f t="shared" si="462"/>
        <v>0</v>
      </c>
      <c r="J261" s="9">
        <f t="shared" si="462"/>
        <v>0</v>
      </c>
      <c r="K261" s="9">
        <f t="shared" si="462"/>
        <v>0</v>
      </c>
      <c r="L261" s="9">
        <f t="shared" si="462"/>
        <v>0</v>
      </c>
      <c r="M261" s="9">
        <f t="shared" si="462"/>
        <v>0</v>
      </c>
      <c r="N261" s="9">
        <f t="shared" ref="N261:T261" si="463">SUM(N254:N260)</f>
        <v>0</v>
      </c>
      <c r="O261" s="9">
        <f t="shared" si="463"/>
        <v>0</v>
      </c>
      <c r="P261" s="9">
        <f t="shared" si="463"/>
        <v>0</v>
      </c>
      <c r="Q261" s="9">
        <f t="shared" si="463"/>
        <v>1356000</v>
      </c>
      <c r="R261" s="9">
        <f t="shared" si="463"/>
        <v>0</v>
      </c>
      <c r="S261" s="9">
        <f t="shared" si="463"/>
        <v>1275000</v>
      </c>
      <c r="T261" s="9">
        <f t="shared" si="463"/>
        <v>2631000</v>
      </c>
      <c r="U261" s="9">
        <f t="shared" ref="U261:V261" si="464">SUM(U254:U260)</f>
        <v>76100.5</v>
      </c>
      <c r="V261" s="9">
        <f t="shared" si="464"/>
        <v>76100.5</v>
      </c>
      <c r="W261" s="9">
        <f t="shared" ref="W261:AD261" si="465">SUM(W254:W260)</f>
        <v>156000</v>
      </c>
      <c r="X261" s="9">
        <f t="shared" si="465"/>
        <v>1870000</v>
      </c>
      <c r="Y261" s="9">
        <f t="shared" si="465"/>
        <v>529000</v>
      </c>
      <c r="Z261" s="9">
        <f t="shared" si="465"/>
        <v>71000</v>
      </c>
      <c r="AA261" s="9"/>
      <c r="AB261" s="9"/>
      <c r="AC261" s="9"/>
      <c r="AD261" s="66">
        <f t="shared" si="465"/>
        <v>2626000</v>
      </c>
      <c r="AE261" s="9">
        <f t="shared" ref="AE261:AF261" si="466">SUM(AE254:AE260)</f>
        <v>2174442.4500000002</v>
      </c>
      <c r="AF261" s="9">
        <f t="shared" si="466"/>
        <v>2250542.9500000002</v>
      </c>
      <c r="AG261" s="9">
        <f t="shared" ref="AG261:AW261" si="467">SUM(AG254:AG260)</f>
        <v>2000</v>
      </c>
      <c r="AH261" s="9">
        <f t="shared" si="467"/>
        <v>0</v>
      </c>
      <c r="AI261" s="9">
        <f t="shared" si="467"/>
        <v>0</v>
      </c>
      <c r="AJ261" s="9">
        <f t="shared" si="467"/>
        <v>0</v>
      </c>
      <c r="AK261" s="9">
        <f t="shared" si="467"/>
        <v>0</v>
      </c>
      <c r="AL261" s="9">
        <f t="shared" si="467"/>
        <v>0</v>
      </c>
      <c r="AM261" s="9">
        <f t="shared" si="467"/>
        <v>0</v>
      </c>
      <c r="AN261" s="9">
        <f t="shared" si="467"/>
        <v>0</v>
      </c>
      <c r="AO261" s="66">
        <f t="shared" si="467"/>
        <v>2000</v>
      </c>
      <c r="AP261" s="66">
        <f t="shared" si="467"/>
        <v>0</v>
      </c>
      <c r="AQ261" s="66">
        <f t="shared" si="467"/>
        <v>2000</v>
      </c>
      <c r="AR261" s="9">
        <f t="shared" si="467"/>
        <v>-790</v>
      </c>
      <c r="AS261" s="9">
        <f t="shared" si="467"/>
        <v>0</v>
      </c>
      <c r="AT261" s="9">
        <f t="shared" si="467"/>
        <v>0</v>
      </c>
      <c r="AU261" s="9">
        <f t="shared" si="467"/>
        <v>0</v>
      </c>
      <c r="AV261" s="9">
        <f t="shared" si="467"/>
        <v>0</v>
      </c>
      <c r="AW261" s="9">
        <f t="shared" si="467"/>
        <v>2251752.9500000002</v>
      </c>
      <c r="AX261" s="9" t="s">
        <v>48</v>
      </c>
      <c r="AY261" s="5">
        <v>2629973.5063</v>
      </c>
      <c r="AZ261" s="5">
        <f t="shared" si="276"/>
        <v>-378220.55629999982</v>
      </c>
    </row>
    <row r="262" spans="1:52" s="4" customFormat="1" ht="45">
      <c r="A262" s="149"/>
      <c r="B262" s="133"/>
      <c r="C262" s="150"/>
      <c r="D262" s="25" t="s">
        <v>22</v>
      </c>
      <c r="E262" s="25">
        <v>6001</v>
      </c>
      <c r="F262" s="37" t="s">
        <v>44</v>
      </c>
      <c r="G262" s="37" t="s">
        <v>89</v>
      </c>
      <c r="H262" s="26"/>
      <c r="I262" s="26"/>
      <c r="J262" s="26"/>
      <c r="K262" s="26"/>
      <c r="L262" s="26"/>
      <c r="M262" s="26">
        <f t="shared" ref="M262:M264" si="468">SUM(I262:L262)</f>
        <v>0</v>
      </c>
      <c r="N262" s="26"/>
      <c r="O262" s="26">
        <f>H262+N262</f>
        <v>0</v>
      </c>
      <c r="P262" s="26"/>
      <c r="Q262" s="26">
        <f>1138892.95+107.050000000046</f>
        <v>1139000</v>
      </c>
      <c r="R262" s="26">
        <v>0</v>
      </c>
      <c r="S262" s="26">
        <f>1071168.82-107.050000000046+938.229999999981</f>
        <v>1072000</v>
      </c>
      <c r="T262" s="26">
        <f t="shared" ref="T262:T264" si="469">SUM(P262:S262)</f>
        <v>2211000</v>
      </c>
      <c r="U262" s="26">
        <v>63950</v>
      </c>
      <c r="V262" s="26">
        <f t="shared" ref="V262:V268" si="470">O262+U262</f>
        <v>63950</v>
      </c>
      <c r="W262" s="26">
        <f>130950+50</f>
        <v>131000</v>
      </c>
      <c r="X262" s="26">
        <f>1570568.18-50+481.820000000065</f>
        <v>1571000</v>
      </c>
      <c r="Y262" s="26">
        <f>444593.59-481.820000000065+888.23000000004</f>
        <v>445000</v>
      </c>
      <c r="Z262" s="26"/>
      <c r="AA262" s="26"/>
      <c r="AB262" s="26"/>
      <c r="AC262" s="26"/>
      <c r="AD262" s="67">
        <f t="shared" si="450"/>
        <v>2147000</v>
      </c>
      <c r="AE262" s="26">
        <v>1754207.21</v>
      </c>
      <c r="AF262" s="26">
        <f t="shared" ref="AF262:AF268" si="471">V262+AE262</f>
        <v>1818157.21</v>
      </c>
      <c r="AG262" s="26"/>
      <c r="AH262" s="26"/>
      <c r="AI262" s="26"/>
      <c r="AJ262" s="26"/>
      <c r="AK262" s="26"/>
      <c r="AL262" s="26"/>
      <c r="AM262" s="26"/>
      <c r="AN262" s="26"/>
      <c r="AO262" s="67">
        <f t="shared" ref="AO262:AO323" si="472">AG262+AI262+AK262+AM262</f>
        <v>0</v>
      </c>
      <c r="AP262" s="67">
        <f t="shared" ref="AP262:AP323" si="473">AH262+AJ262+AL262+AN262</f>
        <v>0</v>
      </c>
      <c r="AQ262" s="67">
        <f t="shared" ref="AQ262:AQ323" si="474">AO262+AP262</f>
        <v>0</v>
      </c>
      <c r="AR262" s="26"/>
      <c r="AS262" s="26"/>
      <c r="AT262" s="26"/>
      <c r="AU262" s="26"/>
      <c r="AV262" s="26"/>
      <c r="AW262" s="26">
        <f t="shared" ref="AW262:AW323" si="475">AF262+AQ262+AR262+AS262+AT262+AU262+AV262</f>
        <v>1818157.21</v>
      </c>
      <c r="AX262" s="26" t="s">
        <v>48</v>
      </c>
      <c r="AY262" s="4">
        <v>2210061.77</v>
      </c>
      <c r="AZ262" s="4">
        <f t="shared" si="276"/>
        <v>-391904.56000000006</v>
      </c>
    </row>
    <row r="263" spans="1:52" s="4" customFormat="1" ht="45">
      <c r="A263" s="149"/>
      <c r="B263" s="133"/>
      <c r="C263" s="150"/>
      <c r="D263" s="25" t="s">
        <v>22</v>
      </c>
      <c r="E263" s="25">
        <v>6002</v>
      </c>
      <c r="F263" s="37" t="s">
        <v>45</v>
      </c>
      <c r="G263" s="37" t="s">
        <v>89</v>
      </c>
      <c r="H263" s="26"/>
      <c r="I263" s="26"/>
      <c r="J263" s="26"/>
      <c r="K263" s="26"/>
      <c r="L263" s="26"/>
      <c r="M263" s="26">
        <f t="shared" si="468"/>
        <v>0</v>
      </c>
      <c r="N263" s="26"/>
      <c r="O263" s="26">
        <f t="shared" ref="O263:O264" si="476">H263+N263</f>
        <v>0</v>
      </c>
      <c r="P263" s="26"/>
      <c r="Q263" s="26"/>
      <c r="R263" s="26"/>
      <c r="S263" s="26"/>
      <c r="T263" s="26">
        <f t="shared" si="469"/>
        <v>0</v>
      </c>
      <c r="U263" s="26"/>
      <c r="V263" s="26">
        <f t="shared" si="470"/>
        <v>0</v>
      </c>
      <c r="W263" s="26"/>
      <c r="X263" s="26"/>
      <c r="Y263" s="26"/>
      <c r="Z263" s="26">
        <v>71000</v>
      </c>
      <c r="AA263" s="26"/>
      <c r="AB263" s="26"/>
      <c r="AC263" s="26"/>
      <c r="AD263" s="67">
        <f t="shared" si="450"/>
        <v>71000</v>
      </c>
      <c r="AE263" s="26">
        <v>70555.100000000006</v>
      </c>
      <c r="AF263" s="26">
        <f t="shared" si="471"/>
        <v>70555.100000000006</v>
      </c>
      <c r="AG263" s="26">
        <f>1210+790</f>
        <v>2000</v>
      </c>
      <c r="AH263" s="26"/>
      <c r="AI263" s="26"/>
      <c r="AJ263" s="26"/>
      <c r="AK263" s="26"/>
      <c r="AL263" s="26"/>
      <c r="AM263" s="26"/>
      <c r="AN263" s="26"/>
      <c r="AO263" s="67">
        <f t="shared" si="472"/>
        <v>2000</v>
      </c>
      <c r="AP263" s="67">
        <f t="shared" si="473"/>
        <v>0</v>
      </c>
      <c r="AQ263" s="67">
        <f t="shared" si="474"/>
        <v>2000</v>
      </c>
      <c r="AR263" s="26">
        <v>-790</v>
      </c>
      <c r="AS263" s="26"/>
      <c r="AT263" s="26"/>
      <c r="AU263" s="26"/>
      <c r="AV263" s="26"/>
      <c r="AW263" s="26">
        <f t="shared" si="475"/>
        <v>71765.100000000006</v>
      </c>
      <c r="AX263" s="26" t="s">
        <v>48</v>
      </c>
      <c r="AY263" s="4">
        <v>0</v>
      </c>
      <c r="AZ263" s="4">
        <f t="shared" si="276"/>
        <v>71765.100000000006</v>
      </c>
    </row>
    <row r="264" spans="1:52" s="4" customFormat="1" ht="45">
      <c r="A264" s="149"/>
      <c r="B264" s="133"/>
      <c r="C264" s="150"/>
      <c r="D264" s="25" t="s">
        <v>22</v>
      </c>
      <c r="E264" s="25">
        <v>6003</v>
      </c>
      <c r="F264" s="37" t="s">
        <v>46</v>
      </c>
      <c r="G264" s="37" t="s">
        <v>89</v>
      </c>
      <c r="H264" s="26"/>
      <c r="I264" s="26"/>
      <c r="J264" s="26"/>
      <c r="K264" s="26"/>
      <c r="L264" s="26"/>
      <c r="M264" s="26">
        <f t="shared" si="468"/>
        <v>0</v>
      </c>
      <c r="N264" s="26"/>
      <c r="O264" s="26">
        <f t="shared" si="476"/>
        <v>0</v>
      </c>
      <c r="P264" s="26"/>
      <c r="Q264" s="26">
        <f>216389.6605+610.339500000001</f>
        <v>217000</v>
      </c>
      <c r="R264" s="26">
        <v>0</v>
      </c>
      <c r="S264" s="26">
        <f>203522.0758-610.339500000001+88.2637000000104</f>
        <v>203000</v>
      </c>
      <c r="T264" s="26">
        <f t="shared" si="469"/>
        <v>420000</v>
      </c>
      <c r="U264" s="26">
        <v>12150.5</v>
      </c>
      <c r="V264" s="26">
        <f t="shared" si="470"/>
        <v>12150.5</v>
      </c>
      <c r="W264" s="26">
        <f>24880.5+119.5</f>
        <v>25000</v>
      </c>
      <c r="X264" s="26">
        <f>298407.95-119.5+711.549999999988</f>
        <v>299000</v>
      </c>
      <c r="Y264" s="26">
        <f>84472.78-711.549999999988+238.76999999999</f>
        <v>84000</v>
      </c>
      <c r="Z264" s="26"/>
      <c r="AA264" s="26"/>
      <c r="AB264" s="26"/>
      <c r="AC264" s="26"/>
      <c r="AD264" s="67">
        <f t="shared" si="450"/>
        <v>408000</v>
      </c>
      <c r="AE264" s="26">
        <v>349680.14</v>
      </c>
      <c r="AF264" s="26">
        <f t="shared" si="471"/>
        <v>361830.64</v>
      </c>
      <c r="AG264" s="26"/>
      <c r="AH264" s="26"/>
      <c r="AI264" s="26"/>
      <c r="AJ264" s="26"/>
      <c r="AK264" s="26"/>
      <c r="AL264" s="26"/>
      <c r="AM264" s="26"/>
      <c r="AN264" s="26"/>
      <c r="AO264" s="67">
        <f t="shared" si="472"/>
        <v>0</v>
      </c>
      <c r="AP264" s="67">
        <f t="shared" si="473"/>
        <v>0</v>
      </c>
      <c r="AQ264" s="67">
        <f t="shared" si="474"/>
        <v>0</v>
      </c>
      <c r="AR264" s="26"/>
      <c r="AS264" s="26"/>
      <c r="AT264" s="26"/>
      <c r="AU264" s="26"/>
      <c r="AV264" s="26"/>
      <c r="AW264" s="26">
        <f t="shared" si="475"/>
        <v>361830.64</v>
      </c>
      <c r="AX264" s="26" t="s">
        <v>48</v>
      </c>
      <c r="AY264" s="4">
        <v>419911.73</v>
      </c>
      <c r="AZ264" s="4">
        <f t="shared" si="276"/>
        <v>-58081.089999999967</v>
      </c>
    </row>
    <row r="265" spans="1:52" s="4" customFormat="1" ht="45">
      <c r="A265" s="149"/>
      <c r="B265" s="133"/>
      <c r="C265" s="150"/>
      <c r="D265" s="25" t="s">
        <v>22</v>
      </c>
      <c r="E265" s="25"/>
      <c r="F265" s="25" t="s">
        <v>29</v>
      </c>
      <c r="G265" s="37" t="s">
        <v>89</v>
      </c>
      <c r="H265" s="26">
        <f>SUM(H262:H264)</f>
        <v>0</v>
      </c>
      <c r="I265" s="26">
        <f t="shared" ref="I265:Z265" si="477">SUM(I262:I264)</f>
        <v>0</v>
      </c>
      <c r="J265" s="26">
        <f t="shared" si="477"/>
        <v>0</v>
      </c>
      <c r="K265" s="26">
        <f t="shared" si="477"/>
        <v>0</v>
      </c>
      <c r="L265" s="26">
        <f t="shared" si="477"/>
        <v>0</v>
      </c>
      <c r="M265" s="26">
        <f t="shared" si="477"/>
        <v>0</v>
      </c>
      <c r="N265" s="26">
        <f t="shared" si="477"/>
        <v>0</v>
      </c>
      <c r="O265" s="26">
        <f t="shared" si="477"/>
        <v>0</v>
      </c>
      <c r="P265" s="26">
        <f t="shared" si="477"/>
        <v>0</v>
      </c>
      <c r="Q265" s="26">
        <f t="shared" si="477"/>
        <v>1356000</v>
      </c>
      <c r="R265" s="26">
        <f t="shared" si="477"/>
        <v>0</v>
      </c>
      <c r="S265" s="26">
        <f t="shared" si="477"/>
        <v>1275000</v>
      </c>
      <c r="T265" s="26">
        <f t="shared" si="477"/>
        <v>2631000</v>
      </c>
      <c r="U265" s="26">
        <f t="shared" si="477"/>
        <v>76100.5</v>
      </c>
      <c r="V265" s="26">
        <f t="shared" si="477"/>
        <v>76100.5</v>
      </c>
      <c r="W265" s="26">
        <f t="shared" si="477"/>
        <v>156000</v>
      </c>
      <c r="X265" s="26">
        <f t="shared" si="477"/>
        <v>1870000</v>
      </c>
      <c r="Y265" s="26">
        <f t="shared" si="477"/>
        <v>529000</v>
      </c>
      <c r="Z265" s="26">
        <f t="shared" si="477"/>
        <v>71000</v>
      </c>
      <c r="AA265" s="26"/>
      <c r="AB265" s="26"/>
      <c r="AC265" s="26"/>
      <c r="AD265" s="67">
        <f>SUM(AD262:AD264)</f>
        <v>2626000</v>
      </c>
      <c r="AE265" s="26">
        <f t="shared" ref="AE265:AW265" si="478">SUM(AE262:AE264)</f>
        <v>2174442.4500000002</v>
      </c>
      <c r="AF265" s="26">
        <f t="shared" si="478"/>
        <v>2250542.9500000002</v>
      </c>
      <c r="AG265" s="26">
        <f t="shared" si="478"/>
        <v>2000</v>
      </c>
      <c r="AH265" s="26">
        <f t="shared" si="478"/>
        <v>0</v>
      </c>
      <c r="AI265" s="26">
        <f t="shared" si="478"/>
        <v>0</v>
      </c>
      <c r="AJ265" s="26">
        <f t="shared" si="478"/>
        <v>0</v>
      </c>
      <c r="AK265" s="26">
        <f t="shared" si="478"/>
        <v>0</v>
      </c>
      <c r="AL265" s="26">
        <f t="shared" si="478"/>
        <v>0</v>
      </c>
      <c r="AM265" s="26">
        <f t="shared" si="478"/>
        <v>0</v>
      </c>
      <c r="AN265" s="26">
        <f t="shared" si="478"/>
        <v>0</v>
      </c>
      <c r="AO265" s="67">
        <f t="shared" si="478"/>
        <v>2000</v>
      </c>
      <c r="AP265" s="67">
        <f t="shared" si="478"/>
        <v>0</v>
      </c>
      <c r="AQ265" s="67">
        <f t="shared" si="478"/>
        <v>2000</v>
      </c>
      <c r="AR265" s="26">
        <f t="shared" si="478"/>
        <v>-790</v>
      </c>
      <c r="AS265" s="26">
        <f t="shared" si="478"/>
        <v>0</v>
      </c>
      <c r="AT265" s="26">
        <f t="shared" si="478"/>
        <v>0</v>
      </c>
      <c r="AU265" s="26">
        <f t="shared" si="478"/>
        <v>0</v>
      </c>
      <c r="AV265" s="26">
        <f t="shared" si="478"/>
        <v>0</v>
      </c>
      <c r="AW265" s="26">
        <f t="shared" si="478"/>
        <v>2251752.9500000002</v>
      </c>
      <c r="AX265" s="26" t="s">
        <v>48</v>
      </c>
      <c r="AY265" s="4">
        <v>2629973.5</v>
      </c>
      <c r="AZ265" s="4">
        <f t="shared" si="276"/>
        <v>-378220.54999999981</v>
      </c>
    </row>
    <row r="266" spans="1:52" s="5" customFormat="1" ht="30">
      <c r="A266" s="143" t="s">
        <v>117</v>
      </c>
      <c r="B266" s="111" t="s">
        <v>23</v>
      </c>
      <c r="C266" s="129">
        <v>65</v>
      </c>
      <c r="D266" s="7" t="s">
        <v>21</v>
      </c>
      <c r="E266" s="7">
        <v>42028801</v>
      </c>
      <c r="F266" s="8" t="s">
        <v>44</v>
      </c>
      <c r="G266" s="8" t="s">
        <v>90</v>
      </c>
      <c r="H266" s="9"/>
      <c r="I266" s="9"/>
      <c r="J266" s="9"/>
      <c r="K266" s="9"/>
      <c r="L266" s="9"/>
      <c r="M266" s="9">
        <f t="shared" ref="M266:M268" si="479">SUM(I266:L266)</f>
        <v>0</v>
      </c>
      <c r="N266" s="9"/>
      <c r="O266" s="9">
        <f>H266+N266</f>
        <v>0</v>
      </c>
      <c r="P266" s="9"/>
      <c r="Q266" s="9"/>
      <c r="R266" s="9"/>
      <c r="S266" s="9">
        <v>30173000</v>
      </c>
      <c r="T266" s="9">
        <f>SUM(P266:S266)</f>
        <v>30173000</v>
      </c>
      <c r="U266" s="9"/>
      <c r="V266" s="9">
        <f t="shared" si="470"/>
        <v>0</v>
      </c>
      <c r="W266" s="9">
        <v>21600000</v>
      </c>
      <c r="X266" s="9"/>
      <c r="Y266" s="9">
        <v>8573000</v>
      </c>
      <c r="Z266" s="9"/>
      <c r="AA266" s="9"/>
      <c r="AB266" s="9"/>
      <c r="AC266" s="9"/>
      <c r="AD266" s="66">
        <f t="shared" si="450"/>
        <v>30173000</v>
      </c>
      <c r="AE266" s="9">
        <f>21600000+8455517</f>
        <v>30055517</v>
      </c>
      <c r="AF266" s="9">
        <f t="shared" si="471"/>
        <v>30055517</v>
      </c>
      <c r="AG266" s="9"/>
      <c r="AH266" s="9"/>
      <c r="AI266" s="9"/>
      <c r="AJ266" s="9"/>
      <c r="AK266" s="9"/>
      <c r="AL266" s="9"/>
      <c r="AM266" s="9"/>
      <c r="AN266" s="9"/>
      <c r="AO266" s="66">
        <f t="shared" si="472"/>
        <v>0</v>
      </c>
      <c r="AP266" s="66">
        <f t="shared" si="473"/>
        <v>0</v>
      </c>
      <c r="AQ266" s="66">
        <f t="shared" si="474"/>
        <v>0</v>
      </c>
      <c r="AR266" s="9"/>
      <c r="AS266" s="9"/>
      <c r="AT266" s="9"/>
      <c r="AU266" s="9"/>
      <c r="AV266" s="9"/>
      <c r="AW266" s="9">
        <f t="shared" si="475"/>
        <v>30055517</v>
      </c>
      <c r="AX266" s="9" t="s">
        <v>48</v>
      </c>
      <c r="AY266" s="5">
        <v>30172560</v>
      </c>
      <c r="AZ266" s="5">
        <f t="shared" si="276"/>
        <v>-117043</v>
      </c>
    </row>
    <row r="267" spans="1:52" s="5" customFormat="1" ht="30">
      <c r="A267" s="144"/>
      <c r="B267" s="112"/>
      <c r="C267" s="114"/>
      <c r="D267" s="7" t="s">
        <v>21</v>
      </c>
      <c r="E267" s="7">
        <v>42028802</v>
      </c>
      <c r="F267" s="8" t="s">
        <v>45</v>
      </c>
      <c r="G267" s="8" t="s">
        <v>90</v>
      </c>
      <c r="H267" s="9"/>
      <c r="I267" s="9"/>
      <c r="J267" s="9"/>
      <c r="K267" s="9"/>
      <c r="L267" s="9"/>
      <c r="M267" s="9">
        <f t="shared" si="479"/>
        <v>0</v>
      </c>
      <c r="N267" s="9"/>
      <c r="O267" s="9">
        <f t="shared" ref="O267:O268" si="480">H267+N267</f>
        <v>0</v>
      </c>
      <c r="P267" s="9"/>
      <c r="Q267" s="9"/>
      <c r="R267" s="9"/>
      <c r="S267" s="9"/>
      <c r="T267" s="9">
        <f t="shared" ref="T267:T268" si="481">SUM(P267:S267)</f>
        <v>0</v>
      </c>
      <c r="U267" s="9"/>
      <c r="V267" s="9">
        <f t="shared" si="470"/>
        <v>0</v>
      </c>
      <c r="W267" s="9"/>
      <c r="X267" s="9"/>
      <c r="Y267" s="9"/>
      <c r="Z267" s="9"/>
      <c r="AA267" s="9"/>
      <c r="AB267" s="9"/>
      <c r="AC267" s="9"/>
      <c r="AD267" s="66">
        <f t="shared" si="450"/>
        <v>0</v>
      </c>
      <c r="AE267" s="9"/>
      <c r="AF267" s="9">
        <f t="shared" si="471"/>
        <v>0</v>
      </c>
      <c r="AG267" s="9"/>
      <c r="AH267" s="9"/>
      <c r="AI267" s="9"/>
      <c r="AJ267" s="9"/>
      <c r="AK267" s="9"/>
      <c r="AL267" s="9"/>
      <c r="AM267" s="9"/>
      <c r="AN267" s="9"/>
      <c r="AO267" s="66">
        <f t="shared" si="472"/>
        <v>0</v>
      </c>
      <c r="AP267" s="66">
        <f t="shared" si="473"/>
        <v>0</v>
      </c>
      <c r="AQ267" s="66">
        <f t="shared" si="474"/>
        <v>0</v>
      </c>
      <c r="AR267" s="9"/>
      <c r="AS267" s="9"/>
      <c r="AT267" s="9"/>
      <c r="AU267" s="9"/>
      <c r="AV267" s="9"/>
      <c r="AW267" s="9">
        <f t="shared" si="475"/>
        <v>0</v>
      </c>
      <c r="AX267" s="9" t="s">
        <v>48</v>
      </c>
      <c r="AY267" s="5">
        <v>0</v>
      </c>
      <c r="AZ267" s="5">
        <f t="shared" si="276"/>
        <v>0</v>
      </c>
    </row>
    <row r="268" spans="1:52" s="5" customFormat="1">
      <c r="A268" s="144"/>
      <c r="B268" s="112"/>
      <c r="C268" s="114"/>
      <c r="D268" s="7" t="s">
        <v>21</v>
      </c>
      <c r="E268" s="7">
        <v>42028803</v>
      </c>
      <c r="F268" s="8" t="s">
        <v>46</v>
      </c>
      <c r="G268" s="8" t="s">
        <v>90</v>
      </c>
      <c r="H268" s="9"/>
      <c r="I268" s="9"/>
      <c r="J268" s="9"/>
      <c r="K268" s="9"/>
      <c r="L268" s="9"/>
      <c r="M268" s="9">
        <f t="shared" si="479"/>
        <v>0</v>
      </c>
      <c r="N268" s="9"/>
      <c r="O268" s="9">
        <f t="shared" si="480"/>
        <v>0</v>
      </c>
      <c r="P268" s="9"/>
      <c r="Q268" s="9"/>
      <c r="R268" s="9"/>
      <c r="S268" s="9">
        <v>5733000</v>
      </c>
      <c r="T268" s="9">
        <f t="shared" si="481"/>
        <v>5733000</v>
      </c>
      <c r="U268" s="9"/>
      <c r="V268" s="9">
        <f t="shared" si="470"/>
        <v>0</v>
      </c>
      <c r="W268" s="9">
        <v>4104000</v>
      </c>
      <c r="X268" s="9"/>
      <c r="Y268" s="9">
        <v>1629000</v>
      </c>
      <c r="Z268" s="9"/>
      <c r="AA268" s="9"/>
      <c r="AB268" s="9"/>
      <c r="AC268" s="9"/>
      <c r="AD268" s="66">
        <f t="shared" si="450"/>
        <v>5733000</v>
      </c>
      <c r="AE268" s="9">
        <f>4104000+1628786.4</f>
        <v>5732786.4000000004</v>
      </c>
      <c r="AF268" s="9">
        <f t="shared" si="471"/>
        <v>5732786.4000000004</v>
      </c>
      <c r="AG268" s="9"/>
      <c r="AH268" s="9"/>
      <c r="AI268" s="9"/>
      <c r="AJ268" s="9"/>
      <c r="AK268" s="9"/>
      <c r="AL268" s="9"/>
      <c r="AM268" s="9"/>
      <c r="AN268" s="9"/>
      <c r="AO268" s="66">
        <f t="shared" si="472"/>
        <v>0</v>
      </c>
      <c r="AP268" s="66">
        <f t="shared" si="473"/>
        <v>0</v>
      </c>
      <c r="AQ268" s="66">
        <f t="shared" si="474"/>
        <v>0</v>
      </c>
      <c r="AR268" s="9"/>
      <c r="AS268" s="9"/>
      <c r="AT268" s="9"/>
      <c r="AU268" s="9"/>
      <c r="AV268" s="9"/>
      <c r="AW268" s="9">
        <f t="shared" si="475"/>
        <v>5732786.4000000004</v>
      </c>
      <c r="AX268" s="9" t="s">
        <v>48</v>
      </c>
      <c r="AY268" s="5">
        <v>5732787</v>
      </c>
      <c r="AZ268" s="5">
        <f t="shared" si="276"/>
        <v>-0.59999999962747097</v>
      </c>
    </row>
    <row r="269" spans="1:52" s="5" customFormat="1">
      <c r="A269" s="144"/>
      <c r="B269" s="112"/>
      <c r="C269" s="114"/>
      <c r="D269" s="7" t="s">
        <v>21</v>
      </c>
      <c r="E269" s="7"/>
      <c r="F269" s="7" t="s">
        <v>19</v>
      </c>
      <c r="G269" s="8" t="s">
        <v>90</v>
      </c>
      <c r="H269" s="9">
        <f>H274-H266-H267-H268</f>
        <v>0</v>
      </c>
      <c r="I269" s="9">
        <f t="shared" ref="I269:T269" si="482">I274-I266-I267-I268</f>
        <v>0</v>
      </c>
      <c r="J269" s="9">
        <f t="shared" si="482"/>
        <v>0</v>
      </c>
      <c r="K269" s="9">
        <f t="shared" si="482"/>
        <v>0</v>
      </c>
      <c r="L269" s="9">
        <f t="shared" si="482"/>
        <v>0</v>
      </c>
      <c r="M269" s="9">
        <f t="shared" si="482"/>
        <v>0</v>
      </c>
      <c r="N269" s="9">
        <f t="shared" si="482"/>
        <v>0</v>
      </c>
      <c r="O269" s="9">
        <f t="shared" si="482"/>
        <v>0</v>
      </c>
      <c r="P269" s="9">
        <f t="shared" si="482"/>
        <v>0</v>
      </c>
      <c r="Q269" s="9">
        <f t="shared" si="482"/>
        <v>0</v>
      </c>
      <c r="R269" s="9">
        <f t="shared" si="482"/>
        <v>0</v>
      </c>
      <c r="S269" s="9">
        <f t="shared" si="482"/>
        <v>0</v>
      </c>
      <c r="T269" s="9">
        <f t="shared" si="482"/>
        <v>0</v>
      </c>
      <c r="U269" s="9">
        <f t="shared" ref="U269:V269" si="483">U274-U266-U267-U268</f>
        <v>0</v>
      </c>
      <c r="V269" s="9">
        <f t="shared" si="483"/>
        <v>0</v>
      </c>
      <c r="W269" s="9">
        <f t="shared" ref="W269:AD269" si="484">W274-W266-W267-W268</f>
        <v>0</v>
      </c>
      <c r="X269" s="9">
        <f t="shared" si="484"/>
        <v>0</v>
      </c>
      <c r="Y269" s="9">
        <f t="shared" si="484"/>
        <v>0</v>
      </c>
      <c r="Z269" s="9">
        <f t="shared" si="484"/>
        <v>147000</v>
      </c>
      <c r="AA269" s="9"/>
      <c r="AB269" s="9"/>
      <c r="AC269" s="9"/>
      <c r="AD269" s="66">
        <f t="shared" si="484"/>
        <v>147000</v>
      </c>
      <c r="AE269" s="9">
        <f t="shared" ref="AE269:AF269" si="485">AE274-AE266-AE267-AE268</f>
        <v>146872.16999999993</v>
      </c>
      <c r="AF269" s="9">
        <f t="shared" si="485"/>
        <v>146872.16999999993</v>
      </c>
      <c r="AG269" s="9">
        <f t="shared" ref="AG269:AW269" si="486">AG274-AG266-AG267-AG268</f>
        <v>0</v>
      </c>
      <c r="AH269" s="9">
        <f t="shared" si="486"/>
        <v>0</v>
      </c>
      <c r="AI269" s="9">
        <f t="shared" si="486"/>
        <v>0</v>
      </c>
      <c r="AJ269" s="9">
        <f t="shared" si="486"/>
        <v>0</v>
      </c>
      <c r="AK269" s="9">
        <f t="shared" si="486"/>
        <v>0</v>
      </c>
      <c r="AL269" s="9">
        <f t="shared" si="486"/>
        <v>0</v>
      </c>
      <c r="AM269" s="9">
        <f t="shared" si="486"/>
        <v>0</v>
      </c>
      <c r="AN269" s="9">
        <f t="shared" si="486"/>
        <v>0</v>
      </c>
      <c r="AO269" s="66">
        <f t="shared" si="486"/>
        <v>0</v>
      </c>
      <c r="AP269" s="66">
        <f t="shared" si="486"/>
        <v>0</v>
      </c>
      <c r="AQ269" s="66">
        <f t="shared" si="486"/>
        <v>0</v>
      </c>
      <c r="AR269" s="9">
        <f t="shared" si="486"/>
        <v>0</v>
      </c>
      <c r="AS269" s="9">
        <f t="shared" si="486"/>
        <v>0</v>
      </c>
      <c r="AT269" s="9">
        <f t="shared" si="486"/>
        <v>0</v>
      </c>
      <c r="AU269" s="9">
        <f t="shared" si="486"/>
        <v>0</v>
      </c>
      <c r="AV269" s="9">
        <f t="shared" si="486"/>
        <v>0</v>
      </c>
      <c r="AW269" s="9">
        <f t="shared" si="486"/>
        <v>146872.16999999993</v>
      </c>
      <c r="AX269" s="9" t="s">
        <v>48</v>
      </c>
      <c r="AY269" s="5">
        <v>0</v>
      </c>
      <c r="AZ269" s="5">
        <f t="shared" si="276"/>
        <v>146872.16999999993</v>
      </c>
    </row>
    <row r="270" spans="1:52" s="5" customFormat="1">
      <c r="A270" s="144"/>
      <c r="B270" s="112"/>
      <c r="C270" s="114"/>
      <c r="D270" s="7" t="s">
        <v>21</v>
      </c>
      <c r="E270" s="7"/>
      <c r="F270" s="7" t="s">
        <v>47</v>
      </c>
      <c r="G270" s="8" t="s">
        <v>90</v>
      </c>
      <c r="H270" s="9">
        <f t="shared" ref="H270:M270" si="487">SUM(H266:H269)</f>
        <v>0</v>
      </c>
      <c r="I270" s="9">
        <f t="shared" si="487"/>
        <v>0</v>
      </c>
      <c r="J270" s="9">
        <f t="shared" si="487"/>
        <v>0</v>
      </c>
      <c r="K270" s="9">
        <f t="shared" si="487"/>
        <v>0</v>
      </c>
      <c r="L270" s="9">
        <f t="shared" si="487"/>
        <v>0</v>
      </c>
      <c r="M270" s="9">
        <f t="shared" si="487"/>
        <v>0</v>
      </c>
      <c r="N270" s="9">
        <f t="shared" ref="N270:T270" si="488">SUM(N266:N269)</f>
        <v>0</v>
      </c>
      <c r="O270" s="9">
        <f t="shared" si="488"/>
        <v>0</v>
      </c>
      <c r="P270" s="9">
        <f t="shared" si="488"/>
        <v>0</v>
      </c>
      <c r="Q270" s="9">
        <f t="shared" si="488"/>
        <v>0</v>
      </c>
      <c r="R270" s="9">
        <f t="shared" si="488"/>
        <v>0</v>
      </c>
      <c r="S270" s="9">
        <f t="shared" si="488"/>
        <v>35906000</v>
      </c>
      <c r="T270" s="9">
        <f t="shared" si="488"/>
        <v>35906000</v>
      </c>
      <c r="U270" s="9">
        <f t="shared" ref="U270:V270" si="489">SUM(U266:U269)</f>
        <v>0</v>
      </c>
      <c r="V270" s="9">
        <f t="shared" si="489"/>
        <v>0</v>
      </c>
      <c r="W270" s="9">
        <f t="shared" ref="W270:AD270" si="490">SUM(W266:W269)</f>
        <v>25704000</v>
      </c>
      <c r="X270" s="9">
        <f t="shared" si="490"/>
        <v>0</v>
      </c>
      <c r="Y270" s="9">
        <f t="shared" si="490"/>
        <v>10202000</v>
      </c>
      <c r="Z270" s="9">
        <f t="shared" si="490"/>
        <v>147000</v>
      </c>
      <c r="AA270" s="9"/>
      <c r="AB270" s="9"/>
      <c r="AC270" s="9"/>
      <c r="AD270" s="66">
        <f t="shared" si="490"/>
        <v>36053000</v>
      </c>
      <c r="AE270" s="9">
        <f t="shared" ref="AE270:AF270" si="491">SUM(AE266:AE269)</f>
        <v>35935175.57</v>
      </c>
      <c r="AF270" s="9">
        <f t="shared" si="491"/>
        <v>35935175.57</v>
      </c>
      <c r="AG270" s="9">
        <f t="shared" ref="AG270:AW270" si="492">SUM(AG266:AG269)</f>
        <v>0</v>
      </c>
      <c r="AH270" s="9">
        <f t="shared" si="492"/>
        <v>0</v>
      </c>
      <c r="AI270" s="9">
        <f t="shared" si="492"/>
        <v>0</v>
      </c>
      <c r="AJ270" s="9">
        <f t="shared" si="492"/>
        <v>0</v>
      </c>
      <c r="AK270" s="9">
        <f t="shared" si="492"/>
        <v>0</v>
      </c>
      <c r="AL270" s="9">
        <f t="shared" si="492"/>
        <v>0</v>
      </c>
      <c r="AM270" s="9">
        <f t="shared" si="492"/>
        <v>0</v>
      </c>
      <c r="AN270" s="9">
        <f t="shared" si="492"/>
        <v>0</v>
      </c>
      <c r="AO270" s="66">
        <f t="shared" si="492"/>
        <v>0</v>
      </c>
      <c r="AP270" s="66">
        <f t="shared" si="492"/>
        <v>0</v>
      </c>
      <c r="AQ270" s="66">
        <f t="shared" si="492"/>
        <v>0</v>
      </c>
      <c r="AR270" s="9">
        <f t="shared" si="492"/>
        <v>0</v>
      </c>
      <c r="AS270" s="9">
        <f t="shared" si="492"/>
        <v>0</v>
      </c>
      <c r="AT270" s="9">
        <f t="shared" si="492"/>
        <v>0</v>
      </c>
      <c r="AU270" s="9">
        <f t="shared" si="492"/>
        <v>0</v>
      </c>
      <c r="AV270" s="9">
        <f t="shared" si="492"/>
        <v>0</v>
      </c>
      <c r="AW270" s="9">
        <f t="shared" si="492"/>
        <v>35935175.57</v>
      </c>
      <c r="AX270" s="9" t="s">
        <v>48</v>
      </c>
      <c r="AY270" s="5">
        <v>35905347</v>
      </c>
      <c r="AZ270" s="5">
        <f t="shared" si="276"/>
        <v>29828.570000000298</v>
      </c>
    </row>
    <row r="271" spans="1:52" s="4" customFormat="1" ht="30">
      <c r="A271" s="144"/>
      <c r="B271" s="112"/>
      <c r="C271" s="114"/>
      <c r="D271" s="25" t="s">
        <v>22</v>
      </c>
      <c r="E271" s="25">
        <v>6001</v>
      </c>
      <c r="F271" s="37" t="s">
        <v>44</v>
      </c>
      <c r="G271" s="37" t="s">
        <v>90</v>
      </c>
      <c r="H271" s="26"/>
      <c r="I271" s="26"/>
      <c r="J271" s="26"/>
      <c r="K271" s="26"/>
      <c r="L271" s="26"/>
      <c r="M271" s="26">
        <f t="shared" ref="M271:M273" si="493">SUM(I271:L271)</f>
        <v>0</v>
      </c>
      <c r="N271" s="26"/>
      <c r="O271" s="26">
        <f t="shared" ref="O271:O273" si="494">H271+N271</f>
        <v>0</v>
      </c>
      <c r="P271" s="26"/>
      <c r="Q271" s="26"/>
      <c r="R271" s="26"/>
      <c r="S271" s="26">
        <f>30172560+440</f>
        <v>30173000</v>
      </c>
      <c r="T271" s="26">
        <f t="shared" ref="T271:T273" si="495">SUM(P271:S271)</f>
        <v>30173000</v>
      </c>
      <c r="U271" s="26">
        <v>0</v>
      </c>
      <c r="V271" s="26">
        <f t="shared" ref="V271:V285" si="496">O271+U271</f>
        <v>0</v>
      </c>
      <c r="W271" s="26">
        <v>21600000</v>
      </c>
      <c r="X271" s="26"/>
      <c r="Y271" s="26">
        <f>8572560+440</f>
        <v>8573000</v>
      </c>
      <c r="Z271" s="26"/>
      <c r="AA271" s="26"/>
      <c r="AB271" s="26"/>
      <c r="AC271" s="26"/>
      <c r="AD271" s="67">
        <f t="shared" si="450"/>
        <v>30173000</v>
      </c>
      <c r="AE271" s="26">
        <v>30055517</v>
      </c>
      <c r="AF271" s="26">
        <f t="shared" ref="AF271:AF273" si="497">V271+AE271</f>
        <v>30055517</v>
      </c>
      <c r="AG271" s="26"/>
      <c r="AH271" s="26"/>
      <c r="AI271" s="26"/>
      <c r="AJ271" s="26"/>
      <c r="AK271" s="26"/>
      <c r="AL271" s="26"/>
      <c r="AM271" s="26"/>
      <c r="AN271" s="26"/>
      <c r="AO271" s="67">
        <f t="shared" si="472"/>
        <v>0</v>
      </c>
      <c r="AP271" s="67">
        <f t="shared" si="473"/>
        <v>0</v>
      </c>
      <c r="AQ271" s="67">
        <f t="shared" si="474"/>
        <v>0</v>
      </c>
      <c r="AR271" s="26"/>
      <c r="AS271" s="26"/>
      <c r="AT271" s="26"/>
      <c r="AU271" s="26"/>
      <c r="AV271" s="26"/>
      <c r="AW271" s="26">
        <f t="shared" si="475"/>
        <v>30055517</v>
      </c>
      <c r="AX271" s="26" t="s">
        <v>48</v>
      </c>
      <c r="AY271" s="4">
        <v>30172560</v>
      </c>
      <c r="AZ271" s="4">
        <f t="shared" si="276"/>
        <v>-117043</v>
      </c>
    </row>
    <row r="272" spans="1:52" s="4" customFormat="1" ht="30">
      <c r="A272" s="144"/>
      <c r="B272" s="112"/>
      <c r="C272" s="114"/>
      <c r="D272" s="25" t="s">
        <v>22</v>
      </c>
      <c r="E272" s="25">
        <v>6002</v>
      </c>
      <c r="F272" s="37" t="s">
        <v>45</v>
      </c>
      <c r="G272" s="37" t="s">
        <v>90</v>
      </c>
      <c r="H272" s="26"/>
      <c r="I272" s="26"/>
      <c r="J272" s="26"/>
      <c r="K272" s="26"/>
      <c r="L272" s="26"/>
      <c r="M272" s="26">
        <f t="shared" si="493"/>
        <v>0</v>
      </c>
      <c r="N272" s="26"/>
      <c r="O272" s="26">
        <f t="shared" si="494"/>
        <v>0</v>
      </c>
      <c r="P272" s="26"/>
      <c r="Q272" s="26"/>
      <c r="R272" s="26"/>
      <c r="S272" s="26"/>
      <c r="T272" s="26">
        <f t="shared" si="495"/>
        <v>0</v>
      </c>
      <c r="U272" s="26">
        <v>0</v>
      </c>
      <c r="V272" s="26">
        <f t="shared" si="496"/>
        <v>0</v>
      </c>
      <c r="W272" s="26"/>
      <c r="X272" s="26"/>
      <c r="Y272" s="26"/>
      <c r="Z272" s="26">
        <v>147000</v>
      </c>
      <c r="AA272" s="26"/>
      <c r="AB272" s="26"/>
      <c r="AC272" s="26"/>
      <c r="AD272" s="67">
        <f t="shared" si="450"/>
        <v>147000</v>
      </c>
      <c r="AE272" s="26">
        <v>146872.17000000001</v>
      </c>
      <c r="AF272" s="26">
        <f t="shared" si="497"/>
        <v>146872.17000000001</v>
      </c>
      <c r="AG272" s="26"/>
      <c r="AH272" s="26"/>
      <c r="AI272" s="26"/>
      <c r="AJ272" s="26"/>
      <c r="AK272" s="26"/>
      <c r="AL272" s="26"/>
      <c r="AM272" s="26"/>
      <c r="AN272" s="26"/>
      <c r="AO272" s="67">
        <f t="shared" si="472"/>
        <v>0</v>
      </c>
      <c r="AP272" s="67">
        <f t="shared" si="473"/>
        <v>0</v>
      </c>
      <c r="AQ272" s="67">
        <f t="shared" si="474"/>
        <v>0</v>
      </c>
      <c r="AR272" s="26"/>
      <c r="AS272" s="26"/>
      <c r="AT272" s="26"/>
      <c r="AU272" s="26"/>
      <c r="AV272" s="26"/>
      <c r="AW272" s="26">
        <f t="shared" si="475"/>
        <v>146872.17000000001</v>
      </c>
      <c r="AX272" s="26" t="s">
        <v>48</v>
      </c>
      <c r="AY272" s="4">
        <v>0</v>
      </c>
      <c r="AZ272" s="4">
        <f t="shared" si="276"/>
        <v>146872.17000000001</v>
      </c>
    </row>
    <row r="273" spans="1:52" s="4" customFormat="1">
      <c r="A273" s="144"/>
      <c r="B273" s="112"/>
      <c r="C273" s="114"/>
      <c r="D273" s="25" t="s">
        <v>22</v>
      </c>
      <c r="E273" s="25">
        <v>6003</v>
      </c>
      <c r="F273" s="37" t="s">
        <v>46</v>
      </c>
      <c r="G273" s="37" t="s">
        <v>90</v>
      </c>
      <c r="H273" s="26"/>
      <c r="I273" s="26"/>
      <c r="J273" s="26"/>
      <c r="K273" s="26"/>
      <c r="L273" s="26"/>
      <c r="M273" s="26">
        <f t="shared" si="493"/>
        <v>0</v>
      </c>
      <c r="N273" s="26"/>
      <c r="O273" s="26">
        <f t="shared" si="494"/>
        <v>0</v>
      </c>
      <c r="P273" s="26"/>
      <c r="Q273" s="26"/>
      <c r="R273" s="26"/>
      <c r="S273" s="26">
        <f>5732787+213</f>
        <v>5733000</v>
      </c>
      <c r="T273" s="26">
        <f t="shared" si="495"/>
        <v>5733000</v>
      </c>
      <c r="U273" s="26">
        <v>0</v>
      </c>
      <c r="V273" s="26">
        <f t="shared" si="496"/>
        <v>0</v>
      </c>
      <c r="W273" s="26">
        <v>4104000</v>
      </c>
      <c r="X273" s="26"/>
      <c r="Y273" s="26">
        <f>1628783.4+216.6</f>
        <v>1629000</v>
      </c>
      <c r="Z273" s="26"/>
      <c r="AA273" s="26"/>
      <c r="AB273" s="26"/>
      <c r="AC273" s="26"/>
      <c r="AD273" s="67">
        <f t="shared" si="450"/>
        <v>5733000</v>
      </c>
      <c r="AE273" s="26">
        <f>5561786.4+171000</f>
        <v>5732786.4000000004</v>
      </c>
      <c r="AF273" s="26">
        <f t="shared" si="497"/>
        <v>5732786.4000000004</v>
      </c>
      <c r="AG273" s="26"/>
      <c r="AH273" s="26"/>
      <c r="AI273" s="26"/>
      <c r="AJ273" s="26"/>
      <c r="AK273" s="26"/>
      <c r="AL273" s="26"/>
      <c r="AM273" s="26"/>
      <c r="AN273" s="26"/>
      <c r="AO273" s="67">
        <f t="shared" si="472"/>
        <v>0</v>
      </c>
      <c r="AP273" s="67">
        <f t="shared" si="473"/>
        <v>0</v>
      </c>
      <c r="AQ273" s="67">
        <f t="shared" si="474"/>
        <v>0</v>
      </c>
      <c r="AR273" s="26"/>
      <c r="AS273" s="26"/>
      <c r="AT273" s="26"/>
      <c r="AU273" s="26"/>
      <c r="AV273" s="26"/>
      <c r="AW273" s="26">
        <f t="shared" si="475"/>
        <v>5732786.4000000004</v>
      </c>
      <c r="AX273" s="26" t="s">
        <v>48</v>
      </c>
      <c r="AY273" s="4">
        <v>5732783.4000000004</v>
      </c>
      <c r="AZ273" s="4">
        <f t="shared" si="276"/>
        <v>3</v>
      </c>
    </row>
    <row r="274" spans="1:52" s="4" customFormat="1">
      <c r="A274" s="144"/>
      <c r="B274" s="112"/>
      <c r="C274" s="114"/>
      <c r="D274" s="25" t="s">
        <v>22</v>
      </c>
      <c r="E274" s="25"/>
      <c r="F274" s="25" t="s">
        <v>29</v>
      </c>
      <c r="G274" s="37" t="s">
        <v>90</v>
      </c>
      <c r="H274" s="26">
        <f>SUM(H271:H273)</f>
        <v>0</v>
      </c>
      <c r="I274" s="26">
        <f t="shared" ref="I274:U274" si="498">SUM(I271:I273)</f>
        <v>0</v>
      </c>
      <c r="J274" s="26">
        <f t="shared" si="498"/>
        <v>0</v>
      </c>
      <c r="K274" s="26">
        <f t="shared" si="498"/>
        <v>0</v>
      </c>
      <c r="L274" s="26">
        <f t="shared" si="498"/>
        <v>0</v>
      </c>
      <c r="M274" s="26">
        <f t="shared" si="498"/>
        <v>0</v>
      </c>
      <c r="N274" s="26">
        <f t="shared" si="498"/>
        <v>0</v>
      </c>
      <c r="O274" s="26">
        <f t="shared" si="498"/>
        <v>0</v>
      </c>
      <c r="P274" s="26">
        <f t="shared" si="498"/>
        <v>0</v>
      </c>
      <c r="Q274" s="26">
        <f t="shared" si="498"/>
        <v>0</v>
      </c>
      <c r="R274" s="26">
        <f t="shared" si="498"/>
        <v>0</v>
      </c>
      <c r="S274" s="26">
        <f t="shared" si="498"/>
        <v>35906000</v>
      </c>
      <c r="T274" s="26">
        <f t="shared" si="498"/>
        <v>35906000</v>
      </c>
      <c r="U274" s="26">
        <f t="shared" si="498"/>
        <v>0</v>
      </c>
      <c r="V274" s="26">
        <f>SUM(V271:V273)</f>
        <v>0</v>
      </c>
      <c r="W274" s="26">
        <f t="shared" ref="W274:AW274" si="499">SUM(W271:W273)</f>
        <v>25704000</v>
      </c>
      <c r="X274" s="26">
        <f t="shared" si="499"/>
        <v>0</v>
      </c>
      <c r="Y274" s="26">
        <f t="shared" si="499"/>
        <v>10202000</v>
      </c>
      <c r="Z274" s="26">
        <f t="shared" si="499"/>
        <v>147000</v>
      </c>
      <c r="AA274" s="26"/>
      <c r="AB274" s="26"/>
      <c r="AC274" s="26"/>
      <c r="AD274" s="67">
        <f t="shared" si="499"/>
        <v>36053000</v>
      </c>
      <c r="AE274" s="26">
        <f>SUM(AE271:AE273)</f>
        <v>35935175.57</v>
      </c>
      <c r="AF274" s="26">
        <f t="shared" si="499"/>
        <v>35935175.57</v>
      </c>
      <c r="AG274" s="26">
        <f t="shared" si="499"/>
        <v>0</v>
      </c>
      <c r="AH274" s="26">
        <f t="shared" si="499"/>
        <v>0</v>
      </c>
      <c r="AI274" s="26">
        <f t="shared" si="499"/>
        <v>0</v>
      </c>
      <c r="AJ274" s="26">
        <f t="shared" si="499"/>
        <v>0</v>
      </c>
      <c r="AK274" s="26">
        <f t="shared" si="499"/>
        <v>0</v>
      </c>
      <c r="AL274" s="26">
        <f t="shared" si="499"/>
        <v>0</v>
      </c>
      <c r="AM274" s="26">
        <f t="shared" si="499"/>
        <v>0</v>
      </c>
      <c r="AN274" s="26">
        <f t="shared" si="499"/>
        <v>0</v>
      </c>
      <c r="AO274" s="67">
        <f t="shared" si="499"/>
        <v>0</v>
      </c>
      <c r="AP274" s="67">
        <f t="shared" si="499"/>
        <v>0</v>
      </c>
      <c r="AQ274" s="67">
        <f t="shared" si="499"/>
        <v>0</v>
      </c>
      <c r="AR274" s="26">
        <f t="shared" si="499"/>
        <v>0</v>
      </c>
      <c r="AS274" s="26">
        <f t="shared" si="499"/>
        <v>0</v>
      </c>
      <c r="AT274" s="26">
        <f t="shared" si="499"/>
        <v>0</v>
      </c>
      <c r="AU274" s="26">
        <f t="shared" si="499"/>
        <v>0</v>
      </c>
      <c r="AV274" s="26">
        <f t="shared" si="499"/>
        <v>0</v>
      </c>
      <c r="AW274" s="26">
        <f t="shared" si="499"/>
        <v>35935175.57</v>
      </c>
      <c r="AX274" s="26" t="s">
        <v>48</v>
      </c>
      <c r="AY274" s="4">
        <v>35905343.399999999</v>
      </c>
      <c r="AZ274" s="4">
        <f t="shared" si="276"/>
        <v>29832.170000001788</v>
      </c>
    </row>
    <row r="275" spans="1:52" s="42" customFormat="1">
      <c r="A275" s="145"/>
      <c r="B275" s="126"/>
      <c r="C275" s="131"/>
      <c r="D275" s="28"/>
      <c r="E275" s="28"/>
      <c r="F275" s="28" t="s">
        <v>40</v>
      </c>
      <c r="G275" s="29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>
        <v>10000</v>
      </c>
      <c r="X275" s="30"/>
      <c r="Y275" s="30"/>
      <c r="Z275" s="30"/>
      <c r="AA275" s="30"/>
      <c r="AB275" s="30"/>
      <c r="AC275" s="30"/>
      <c r="AD275" s="68">
        <f t="shared" si="450"/>
        <v>10000</v>
      </c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68">
        <f t="shared" si="472"/>
        <v>0</v>
      </c>
      <c r="AP275" s="68">
        <f t="shared" si="473"/>
        <v>0</v>
      </c>
      <c r="AQ275" s="68">
        <f t="shared" si="474"/>
        <v>0</v>
      </c>
      <c r="AR275" s="30"/>
      <c r="AS275" s="30"/>
      <c r="AT275" s="30"/>
      <c r="AU275" s="30"/>
      <c r="AV275" s="30"/>
      <c r="AW275" s="30">
        <f t="shared" si="475"/>
        <v>0</v>
      </c>
      <c r="AX275" s="30"/>
    </row>
    <row r="276" spans="1:52" s="5" customFormat="1" ht="30">
      <c r="A276" s="130" t="s">
        <v>262</v>
      </c>
      <c r="B276" s="111" t="s">
        <v>107</v>
      </c>
      <c r="C276" s="129">
        <v>65</v>
      </c>
      <c r="D276" s="7" t="s">
        <v>21</v>
      </c>
      <c r="E276" s="7">
        <v>42028801</v>
      </c>
      <c r="F276" s="8" t="s">
        <v>44</v>
      </c>
      <c r="G276" s="8" t="s">
        <v>108</v>
      </c>
      <c r="H276" s="9"/>
      <c r="I276" s="9"/>
      <c r="J276" s="9"/>
      <c r="K276" s="9"/>
      <c r="L276" s="9"/>
      <c r="M276" s="9"/>
      <c r="N276" s="9"/>
      <c r="O276" s="9">
        <f>H276+N276</f>
        <v>0</v>
      </c>
      <c r="P276" s="9"/>
      <c r="Q276" s="9"/>
      <c r="R276" s="9"/>
      <c r="S276" s="9"/>
      <c r="T276" s="9">
        <f>SUM(P276:S276)</f>
        <v>0</v>
      </c>
      <c r="U276" s="9"/>
      <c r="V276" s="9">
        <f t="shared" si="496"/>
        <v>0</v>
      </c>
      <c r="W276" s="9">
        <v>800000</v>
      </c>
      <c r="X276" s="9"/>
      <c r="Y276" s="9"/>
      <c r="Z276" s="9"/>
      <c r="AA276" s="9"/>
      <c r="AB276" s="9">
        <f>W276+X276+Y276+Z276</f>
        <v>800000</v>
      </c>
      <c r="AC276" s="9">
        <f>AA276</f>
        <v>0</v>
      </c>
      <c r="AD276" s="66">
        <f>AB276+AC276</f>
        <v>800000</v>
      </c>
      <c r="AE276" s="9">
        <f>51884+42720</f>
        <v>94604</v>
      </c>
      <c r="AF276" s="9">
        <f t="shared" ref="AF276:AF277" si="500">V276+AE276</f>
        <v>94604</v>
      </c>
      <c r="AG276" s="9">
        <f>501798+202</f>
        <v>502000</v>
      </c>
      <c r="AH276" s="9"/>
      <c r="AI276" s="9">
        <f>501799-202+403</f>
        <v>502000</v>
      </c>
      <c r="AJ276" s="9"/>
      <c r="AK276" s="9">
        <f>501799-403+604</f>
        <v>502000</v>
      </c>
      <c r="AL276" s="9"/>
      <c r="AM276" s="9"/>
      <c r="AN276" s="9"/>
      <c r="AO276" s="66">
        <f t="shared" si="472"/>
        <v>1506000</v>
      </c>
      <c r="AP276" s="66">
        <f t="shared" si="473"/>
        <v>0</v>
      </c>
      <c r="AQ276" s="66">
        <f t="shared" si="474"/>
        <v>1506000</v>
      </c>
      <c r="AR276" s="9">
        <v>-604</v>
      </c>
      <c r="AS276" s="9"/>
      <c r="AT276" s="9"/>
      <c r="AU276" s="9"/>
      <c r="AV276" s="9"/>
      <c r="AW276" s="9">
        <f t="shared" si="475"/>
        <v>1600000</v>
      </c>
      <c r="AX276" s="9" t="s">
        <v>48</v>
      </c>
    </row>
    <row r="277" spans="1:52" s="5" customFormat="1">
      <c r="A277" s="109"/>
      <c r="B277" s="112"/>
      <c r="C277" s="114"/>
      <c r="D277" s="7" t="s">
        <v>21</v>
      </c>
      <c r="E277" s="7"/>
      <c r="F277" s="8" t="s">
        <v>236</v>
      </c>
      <c r="G277" s="8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>
        <v>1500000</v>
      </c>
      <c r="AB277" s="9">
        <f>W277+X277+Y277+Z277</f>
        <v>0</v>
      </c>
      <c r="AC277" s="9">
        <f>AA277</f>
        <v>1500000</v>
      </c>
      <c r="AD277" s="66">
        <f>AB277+AC277</f>
        <v>1500000</v>
      </c>
      <c r="AE277" s="9"/>
      <c r="AF277" s="9">
        <f t="shared" si="500"/>
        <v>0</v>
      </c>
      <c r="AG277" s="9"/>
      <c r="AH277" s="9">
        <f>AH282-AH276</f>
        <v>4088000</v>
      </c>
      <c r="AI277" s="9"/>
      <c r="AJ277" s="9">
        <f>AJ282-AJ276</f>
        <v>4088000</v>
      </c>
      <c r="AK277" s="9"/>
      <c r="AL277" s="9">
        <f>AL282-AL276</f>
        <v>4024000</v>
      </c>
      <c r="AM277" s="9"/>
      <c r="AN277" s="9"/>
      <c r="AO277" s="66">
        <f t="shared" si="472"/>
        <v>0</v>
      </c>
      <c r="AP277" s="66">
        <f t="shared" si="473"/>
        <v>12200000</v>
      </c>
      <c r="AQ277" s="66">
        <f t="shared" si="474"/>
        <v>12200000</v>
      </c>
      <c r="AR277" s="9"/>
      <c r="AS277" s="9"/>
      <c r="AT277" s="9"/>
      <c r="AU277" s="9"/>
      <c r="AV277" s="9"/>
      <c r="AW277" s="9">
        <f t="shared" si="475"/>
        <v>12200000</v>
      </c>
      <c r="AX277" s="9" t="s">
        <v>48</v>
      </c>
    </row>
    <row r="278" spans="1:52" s="4" customFormat="1" ht="15" customHeight="1">
      <c r="A278" s="109"/>
      <c r="B278" s="125"/>
      <c r="C278" s="164"/>
      <c r="D278" s="7" t="s">
        <v>21</v>
      </c>
      <c r="E278" s="7"/>
      <c r="F278" s="7" t="s">
        <v>19</v>
      </c>
      <c r="G278" s="8" t="s">
        <v>108</v>
      </c>
      <c r="H278" s="9">
        <f>H282-H276</f>
        <v>0</v>
      </c>
      <c r="I278" s="9">
        <f t="shared" ref="I278:V278" si="501">I282-I276</f>
        <v>0</v>
      </c>
      <c r="J278" s="9">
        <f t="shared" si="501"/>
        <v>0</v>
      </c>
      <c r="K278" s="9">
        <f t="shared" si="501"/>
        <v>0</v>
      </c>
      <c r="L278" s="9">
        <f t="shared" si="501"/>
        <v>0</v>
      </c>
      <c r="M278" s="9">
        <f t="shared" si="501"/>
        <v>0</v>
      </c>
      <c r="N278" s="9">
        <f t="shared" si="501"/>
        <v>0</v>
      </c>
      <c r="O278" s="9">
        <f t="shared" si="501"/>
        <v>0</v>
      </c>
      <c r="P278" s="9">
        <f t="shared" si="501"/>
        <v>100000</v>
      </c>
      <c r="Q278" s="9">
        <f t="shared" si="501"/>
        <v>0</v>
      </c>
      <c r="R278" s="9">
        <f t="shared" si="501"/>
        <v>0</v>
      </c>
      <c r="S278" s="9">
        <f t="shared" si="501"/>
        <v>0</v>
      </c>
      <c r="T278" s="9">
        <f t="shared" si="501"/>
        <v>100000</v>
      </c>
      <c r="U278" s="9">
        <f t="shared" si="501"/>
        <v>0</v>
      </c>
      <c r="V278" s="9">
        <f t="shared" si="501"/>
        <v>0</v>
      </c>
      <c r="W278" s="9">
        <f>W282-W276-W277</f>
        <v>0</v>
      </c>
      <c r="X278" s="9">
        <f t="shared" ref="X278:AD278" si="502">X282-X276-X277</f>
        <v>0</v>
      </c>
      <c r="Y278" s="9">
        <f t="shared" si="502"/>
        <v>0</v>
      </c>
      <c r="Z278" s="9">
        <f t="shared" si="502"/>
        <v>0</v>
      </c>
      <c r="AA278" s="9">
        <f t="shared" si="502"/>
        <v>0</v>
      </c>
      <c r="AB278" s="9">
        <f t="shared" si="502"/>
        <v>0</v>
      </c>
      <c r="AC278" s="9">
        <f t="shared" si="502"/>
        <v>0</v>
      </c>
      <c r="AD278" s="66">
        <f t="shared" si="502"/>
        <v>0</v>
      </c>
      <c r="AE278" s="9">
        <f t="shared" ref="AE278:AF278" si="503">AE282-AE276-AE277</f>
        <v>0</v>
      </c>
      <c r="AF278" s="9">
        <f t="shared" si="503"/>
        <v>0</v>
      </c>
      <c r="AG278" s="9">
        <f t="shared" ref="AG278:AW278" si="504">AG282-AG276-AG277</f>
        <v>0</v>
      </c>
      <c r="AH278" s="9">
        <f>AH282-AH276-AH277</f>
        <v>0</v>
      </c>
      <c r="AI278" s="9">
        <f t="shared" si="504"/>
        <v>0</v>
      </c>
      <c r="AJ278" s="9">
        <f t="shared" si="504"/>
        <v>0</v>
      </c>
      <c r="AK278" s="9">
        <f t="shared" si="504"/>
        <v>64000</v>
      </c>
      <c r="AL278" s="9">
        <f t="shared" si="504"/>
        <v>0</v>
      </c>
      <c r="AM278" s="9">
        <f t="shared" si="504"/>
        <v>0</v>
      </c>
      <c r="AN278" s="9">
        <f t="shared" si="504"/>
        <v>0</v>
      </c>
      <c r="AO278" s="66">
        <f t="shared" si="504"/>
        <v>64000</v>
      </c>
      <c r="AP278" s="66">
        <f t="shared" si="504"/>
        <v>0</v>
      </c>
      <c r="AQ278" s="66">
        <f t="shared" si="504"/>
        <v>64000</v>
      </c>
      <c r="AR278" s="9">
        <f t="shared" si="504"/>
        <v>-227</v>
      </c>
      <c r="AS278" s="9">
        <f t="shared" si="504"/>
        <v>0</v>
      </c>
      <c r="AT278" s="9">
        <f t="shared" si="504"/>
        <v>0</v>
      </c>
      <c r="AU278" s="9">
        <f t="shared" si="504"/>
        <v>0</v>
      </c>
      <c r="AV278" s="9">
        <f t="shared" si="504"/>
        <v>0</v>
      </c>
      <c r="AW278" s="9">
        <f t="shared" si="504"/>
        <v>63773</v>
      </c>
      <c r="AX278" s="9" t="s">
        <v>48</v>
      </c>
      <c r="AY278" s="4">
        <v>12263773.74</v>
      </c>
      <c r="AZ278" s="4">
        <f t="shared" si="276"/>
        <v>-12200000.74</v>
      </c>
    </row>
    <row r="279" spans="1:52" s="4" customFormat="1">
      <c r="A279" s="109"/>
      <c r="B279" s="125"/>
      <c r="C279" s="164"/>
      <c r="D279" s="7" t="s">
        <v>21</v>
      </c>
      <c r="E279" s="7"/>
      <c r="F279" s="7" t="s">
        <v>47</v>
      </c>
      <c r="G279" s="8" t="s">
        <v>108</v>
      </c>
      <c r="H279" s="9">
        <f>SUM(H276:H278)</f>
        <v>0</v>
      </c>
      <c r="I279" s="9">
        <f t="shared" ref="I279:AD279" si="505">SUM(I276:I278)</f>
        <v>0</v>
      </c>
      <c r="J279" s="9">
        <f t="shared" si="505"/>
        <v>0</v>
      </c>
      <c r="K279" s="9">
        <f t="shared" si="505"/>
        <v>0</v>
      </c>
      <c r="L279" s="9">
        <f t="shared" si="505"/>
        <v>0</v>
      </c>
      <c r="M279" s="9">
        <f t="shared" si="505"/>
        <v>0</v>
      </c>
      <c r="N279" s="9">
        <f t="shared" si="505"/>
        <v>0</v>
      </c>
      <c r="O279" s="9">
        <f t="shared" si="505"/>
        <v>0</v>
      </c>
      <c r="P279" s="9">
        <f t="shared" si="505"/>
        <v>100000</v>
      </c>
      <c r="Q279" s="9">
        <f t="shared" si="505"/>
        <v>0</v>
      </c>
      <c r="R279" s="9">
        <f t="shared" si="505"/>
        <v>0</v>
      </c>
      <c r="S279" s="9">
        <f t="shared" si="505"/>
        <v>0</v>
      </c>
      <c r="T279" s="9">
        <f t="shared" si="505"/>
        <v>100000</v>
      </c>
      <c r="U279" s="9">
        <f t="shared" si="505"/>
        <v>0</v>
      </c>
      <c r="V279" s="9">
        <f t="shared" si="505"/>
        <v>0</v>
      </c>
      <c r="W279" s="9">
        <f t="shared" si="505"/>
        <v>800000</v>
      </c>
      <c r="X279" s="9">
        <f t="shared" si="505"/>
        <v>0</v>
      </c>
      <c r="Y279" s="9">
        <f t="shared" si="505"/>
        <v>0</v>
      </c>
      <c r="Z279" s="9">
        <f t="shared" si="505"/>
        <v>0</v>
      </c>
      <c r="AA279" s="9">
        <f t="shared" ref="AA279:AC279" si="506">SUM(AA276:AA278)</f>
        <v>1500000</v>
      </c>
      <c r="AB279" s="9">
        <f t="shared" si="506"/>
        <v>800000</v>
      </c>
      <c r="AC279" s="9">
        <f t="shared" si="506"/>
        <v>1500000</v>
      </c>
      <c r="AD279" s="66">
        <f t="shared" si="505"/>
        <v>2300000</v>
      </c>
      <c r="AE279" s="9">
        <f t="shared" ref="AE279:AF279" si="507">SUM(AE276:AE278)</f>
        <v>94604</v>
      </c>
      <c r="AF279" s="9">
        <f t="shared" si="507"/>
        <v>94604</v>
      </c>
      <c r="AG279" s="9">
        <f t="shared" ref="AG279:AW279" si="508">SUM(AG276:AG278)</f>
        <v>502000</v>
      </c>
      <c r="AH279" s="9">
        <f t="shared" si="508"/>
        <v>4088000</v>
      </c>
      <c r="AI279" s="9">
        <f t="shared" si="508"/>
        <v>502000</v>
      </c>
      <c r="AJ279" s="9">
        <f t="shared" si="508"/>
        <v>4088000</v>
      </c>
      <c r="AK279" s="9">
        <f t="shared" si="508"/>
        <v>566000</v>
      </c>
      <c r="AL279" s="9">
        <f t="shared" si="508"/>
        <v>4024000</v>
      </c>
      <c r="AM279" s="9">
        <f t="shared" si="508"/>
        <v>0</v>
      </c>
      <c r="AN279" s="9">
        <f t="shared" si="508"/>
        <v>0</v>
      </c>
      <c r="AO279" s="66">
        <f t="shared" si="508"/>
        <v>1570000</v>
      </c>
      <c r="AP279" s="66">
        <f t="shared" si="508"/>
        <v>12200000</v>
      </c>
      <c r="AQ279" s="66">
        <f t="shared" si="508"/>
        <v>13770000</v>
      </c>
      <c r="AR279" s="9">
        <f t="shared" si="508"/>
        <v>-831</v>
      </c>
      <c r="AS279" s="9">
        <f t="shared" si="508"/>
        <v>0</v>
      </c>
      <c r="AT279" s="9">
        <f t="shared" si="508"/>
        <v>0</v>
      </c>
      <c r="AU279" s="9">
        <f t="shared" si="508"/>
        <v>0</v>
      </c>
      <c r="AV279" s="9">
        <f t="shared" si="508"/>
        <v>0</v>
      </c>
      <c r="AW279" s="9">
        <f t="shared" si="508"/>
        <v>13863773</v>
      </c>
      <c r="AX279" s="9" t="s">
        <v>48</v>
      </c>
    </row>
    <row r="280" spans="1:52" s="4" customFormat="1" ht="30">
      <c r="A280" s="109"/>
      <c r="B280" s="125"/>
      <c r="C280" s="164"/>
      <c r="D280" s="25" t="s">
        <v>22</v>
      </c>
      <c r="E280" s="25">
        <v>6001</v>
      </c>
      <c r="F280" s="37" t="s">
        <v>44</v>
      </c>
      <c r="G280" s="37" t="s">
        <v>108</v>
      </c>
      <c r="H280" s="26"/>
      <c r="I280" s="26"/>
      <c r="J280" s="26"/>
      <c r="K280" s="26"/>
      <c r="L280" s="26"/>
      <c r="M280" s="26"/>
      <c r="N280" s="26"/>
      <c r="O280" s="26">
        <f>H280+N280</f>
        <v>0</v>
      </c>
      <c r="P280" s="26"/>
      <c r="Q280" s="26"/>
      <c r="R280" s="26"/>
      <c r="S280" s="26"/>
      <c r="T280" s="26">
        <f>SUM(P280:S280)</f>
        <v>0</v>
      </c>
      <c r="U280" s="26"/>
      <c r="V280" s="26">
        <f t="shared" si="496"/>
        <v>0</v>
      </c>
      <c r="W280" s="26">
        <v>800000</v>
      </c>
      <c r="X280" s="26"/>
      <c r="Y280" s="26"/>
      <c r="Z280" s="26"/>
      <c r="AA280" s="26"/>
      <c r="AB280" s="26">
        <f t="shared" ref="AB280:AB281" si="509">W280+X280+Y280+Z280</f>
        <v>800000</v>
      </c>
      <c r="AC280" s="26">
        <f t="shared" ref="AC280:AC281" si="510">AA280</f>
        <v>0</v>
      </c>
      <c r="AD280" s="67">
        <f>AB280+AC280</f>
        <v>800000</v>
      </c>
      <c r="AE280" s="26">
        <v>94604</v>
      </c>
      <c r="AF280" s="26">
        <f t="shared" ref="AF280:AF285" si="511">V280+AE280</f>
        <v>94604</v>
      </c>
      <c r="AG280" s="26">
        <f>501798+202</f>
        <v>502000</v>
      </c>
      <c r="AH280" s="26"/>
      <c r="AI280" s="26">
        <f>501799-202+403</f>
        <v>502000</v>
      </c>
      <c r="AJ280" s="26"/>
      <c r="AK280" s="26">
        <f>501799-403+604</f>
        <v>502000</v>
      </c>
      <c r="AL280" s="26"/>
      <c r="AM280" s="26"/>
      <c r="AN280" s="26"/>
      <c r="AO280" s="67">
        <f t="shared" si="472"/>
        <v>1506000</v>
      </c>
      <c r="AP280" s="67">
        <f t="shared" si="473"/>
        <v>0</v>
      </c>
      <c r="AQ280" s="67">
        <f t="shared" si="474"/>
        <v>1506000</v>
      </c>
      <c r="AR280" s="26">
        <v>-604</v>
      </c>
      <c r="AS280" s="26"/>
      <c r="AT280" s="26"/>
      <c r="AU280" s="26"/>
      <c r="AV280" s="26"/>
      <c r="AW280" s="26">
        <f t="shared" si="475"/>
        <v>1600000</v>
      </c>
      <c r="AX280" s="26" t="s">
        <v>48</v>
      </c>
      <c r="AY280" s="4">
        <v>1600000</v>
      </c>
    </row>
    <row r="281" spans="1:52" s="4" customFormat="1" ht="75">
      <c r="A281" s="109"/>
      <c r="B281" s="125"/>
      <c r="C281" s="164"/>
      <c r="D281" s="25" t="s">
        <v>22</v>
      </c>
      <c r="E281" s="86">
        <v>6002</v>
      </c>
      <c r="F281" s="37" t="s">
        <v>274</v>
      </c>
      <c r="G281" s="37" t="s">
        <v>108</v>
      </c>
      <c r="H281" s="26"/>
      <c r="I281" s="26"/>
      <c r="J281" s="26"/>
      <c r="K281" s="26"/>
      <c r="L281" s="26"/>
      <c r="M281" s="26"/>
      <c r="N281" s="26"/>
      <c r="O281" s="26">
        <f>H281+N281</f>
        <v>0</v>
      </c>
      <c r="P281" s="26">
        <f>2000000-1900000</f>
        <v>100000</v>
      </c>
      <c r="Q281" s="26"/>
      <c r="R281" s="26"/>
      <c r="S281" s="26"/>
      <c r="T281" s="26">
        <f>SUM(P281:S281)</f>
        <v>100000</v>
      </c>
      <c r="U281" s="26">
        <v>0</v>
      </c>
      <c r="V281" s="26">
        <f t="shared" si="496"/>
        <v>0</v>
      </c>
      <c r="W281" s="26">
        <f>1500000-1500000</f>
        <v>0</v>
      </c>
      <c r="X281" s="26"/>
      <c r="Y281" s="26"/>
      <c r="Z281" s="26"/>
      <c r="AA281" s="26">
        <v>1500000</v>
      </c>
      <c r="AB281" s="26">
        <f t="shared" si="509"/>
        <v>0</v>
      </c>
      <c r="AC281" s="26">
        <f t="shared" si="510"/>
        <v>1500000</v>
      </c>
      <c r="AD281" s="67">
        <f t="shared" ref="AD281" si="512">AB281+AC281</f>
        <v>1500000</v>
      </c>
      <c r="AE281" s="26"/>
      <c r="AF281" s="26">
        <f t="shared" si="511"/>
        <v>0</v>
      </c>
      <c r="AG281" s="26">
        <f>4087925+75-4088000</f>
        <v>0</v>
      </c>
      <c r="AH281" s="26">
        <v>4088000</v>
      </c>
      <c r="AI281" s="26">
        <f>4087924-75+151-4088000</f>
        <v>0</v>
      </c>
      <c r="AJ281" s="26">
        <v>4088000</v>
      </c>
      <c r="AK281" s="26">
        <f>4087924-151+227-4024000</f>
        <v>64000</v>
      </c>
      <c r="AL281" s="26">
        <v>4024000</v>
      </c>
      <c r="AM281" s="26"/>
      <c r="AN281" s="26"/>
      <c r="AO281" s="67">
        <f t="shared" si="472"/>
        <v>64000</v>
      </c>
      <c r="AP281" s="67">
        <f t="shared" si="473"/>
        <v>12200000</v>
      </c>
      <c r="AQ281" s="67">
        <f t="shared" si="474"/>
        <v>12264000</v>
      </c>
      <c r="AR281" s="26">
        <v>-227</v>
      </c>
      <c r="AS281" s="26"/>
      <c r="AT281" s="26"/>
      <c r="AU281" s="26"/>
      <c r="AV281" s="26"/>
      <c r="AW281" s="26">
        <f t="shared" si="475"/>
        <v>12263773</v>
      </c>
      <c r="AX281" s="26" t="s">
        <v>48</v>
      </c>
      <c r="AY281" s="4">
        <v>12263773.74</v>
      </c>
      <c r="AZ281" s="4">
        <f t="shared" si="276"/>
        <v>-0.74000000022351742</v>
      </c>
    </row>
    <row r="282" spans="1:52" s="4" customFormat="1">
      <c r="A282" s="110"/>
      <c r="B282" s="126"/>
      <c r="C282" s="131"/>
      <c r="D282" s="25" t="s">
        <v>22</v>
      </c>
      <c r="E282" s="25"/>
      <c r="F282" s="25" t="s">
        <v>29</v>
      </c>
      <c r="G282" s="37" t="s">
        <v>108</v>
      </c>
      <c r="H282" s="26">
        <f>SUM(H280:H281)</f>
        <v>0</v>
      </c>
      <c r="I282" s="26">
        <f t="shared" ref="I282:AW282" si="513">SUM(I280:I281)</f>
        <v>0</v>
      </c>
      <c r="J282" s="26">
        <f t="shared" si="513"/>
        <v>0</v>
      </c>
      <c r="K282" s="26">
        <f t="shared" si="513"/>
        <v>0</v>
      </c>
      <c r="L282" s="26">
        <f t="shared" si="513"/>
        <v>0</v>
      </c>
      <c r="M282" s="26">
        <f t="shared" si="513"/>
        <v>0</v>
      </c>
      <c r="N282" s="26">
        <f t="shared" si="513"/>
        <v>0</v>
      </c>
      <c r="O282" s="26">
        <f t="shared" si="513"/>
        <v>0</v>
      </c>
      <c r="P282" s="26">
        <f t="shared" si="513"/>
        <v>100000</v>
      </c>
      <c r="Q282" s="26">
        <f t="shared" si="513"/>
        <v>0</v>
      </c>
      <c r="R282" s="26">
        <f t="shared" si="513"/>
        <v>0</v>
      </c>
      <c r="S282" s="26">
        <f t="shared" si="513"/>
        <v>0</v>
      </c>
      <c r="T282" s="26">
        <f t="shared" si="513"/>
        <v>100000</v>
      </c>
      <c r="U282" s="26">
        <f t="shared" si="513"/>
        <v>0</v>
      </c>
      <c r="V282" s="26">
        <f t="shared" si="513"/>
        <v>0</v>
      </c>
      <c r="W282" s="26">
        <f t="shared" si="513"/>
        <v>800000</v>
      </c>
      <c r="X282" s="26">
        <f t="shared" si="513"/>
        <v>0</v>
      </c>
      <c r="Y282" s="26">
        <f t="shared" si="513"/>
        <v>0</v>
      </c>
      <c r="Z282" s="26">
        <f t="shared" si="513"/>
        <v>0</v>
      </c>
      <c r="AA282" s="26">
        <f t="shared" si="513"/>
        <v>1500000</v>
      </c>
      <c r="AB282" s="26">
        <f t="shared" si="513"/>
        <v>800000</v>
      </c>
      <c r="AC282" s="26">
        <f t="shared" si="513"/>
        <v>1500000</v>
      </c>
      <c r="AD282" s="67">
        <f t="shared" si="513"/>
        <v>2300000</v>
      </c>
      <c r="AE282" s="26">
        <f t="shared" si="513"/>
        <v>94604</v>
      </c>
      <c r="AF282" s="26">
        <f t="shared" si="513"/>
        <v>94604</v>
      </c>
      <c r="AG282" s="26">
        <f t="shared" si="513"/>
        <v>502000</v>
      </c>
      <c r="AH282" s="26">
        <f t="shared" si="513"/>
        <v>4088000</v>
      </c>
      <c r="AI282" s="26">
        <f t="shared" si="513"/>
        <v>502000</v>
      </c>
      <c r="AJ282" s="26">
        <f t="shared" si="513"/>
        <v>4088000</v>
      </c>
      <c r="AK282" s="26">
        <f t="shared" si="513"/>
        <v>566000</v>
      </c>
      <c r="AL282" s="26">
        <f t="shared" si="513"/>
        <v>4024000</v>
      </c>
      <c r="AM282" s="26">
        <f t="shared" si="513"/>
        <v>0</v>
      </c>
      <c r="AN282" s="26">
        <f t="shared" si="513"/>
        <v>0</v>
      </c>
      <c r="AO282" s="67">
        <f t="shared" si="513"/>
        <v>1570000</v>
      </c>
      <c r="AP282" s="67">
        <f t="shared" si="513"/>
        <v>12200000</v>
      </c>
      <c r="AQ282" s="67">
        <f t="shared" si="513"/>
        <v>13770000</v>
      </c>
      <c r="AR282" s="26">
        <f t="shared" si="513"/>
        <v>-831</v>
      </c>
      <c r="AS282" s="26">
        <f t="shared" si="513"/>
        <v>0</v>
      </c>
      <c r="AT282" s="26">
        <f t="shared" si="513"/>
        <v>0</v>
      </c>
      <c r="AU282" s="26">
        <f t="shared" si="513"/>
        <v>0</v>
      </c>
      <c r="AV282" s="26">
        <f t="shared" si="513"/>
        <v>0</v>
      </c>
      <c r="AW282" s="26">
        <f t="shared" si="513"/>
        <v>13863773</v>
      </c>
      <c r="AX282" s="26" t="s">
        <v>48</v>
      </c>
    </row>
    <row r="283" spans="1:52" s="5" customFormat="1" ht="30">
      <c r="A283" s="149" t="s">
        <v>263</v>
      </c>
      <c r="B283" s="133" t="s">
        <v>26</v>
      </c>
      <c r="C283" s="150">
        <v>66</v>
      </c>
      <c r="D283" s="7" t="s">
        <v>21</v>
      </c>
      <c r="E283" s="7">
        <v>42028801</v>
      </c>
      <c r="F283" s="8" t="s">
        <v>44</v>
      </c>
      <c r="G283" s="7">
        <v>52</v>
      </c>
      <c r="H283" s="9"/>
      <c r="I283" s="9"/>
      <c r="J283" s="9"/>
      <c r="K283" s="9"/>
      <c r="L283" s="9"/>
      <c r="M283" s="9">
        <f t="shared" ref="M283:M285" si="514">SUM(I283:L283)</f>
        <v>0</v>
      </c>
      <c r="N283" s="9"/>
      <c r="O283" s="9">
        <f>H283+N283</f>
        <v>0</v>
      </c>
      <c r="P283" s="9"/>
      <c r="Q283" s="9"/>
      <c r="R283" s="9"/>
      <c r="S283" s="9"/>
      <c r="T283" s="9">
        <f>SUM(P283:S283)</f>
        <v>0</v>
      </c>
      <c r="U283" s="9">
        <v>0</v>
      </c>
      <c r="V283" s="9">
        <f t="shared" si="496"/>
        <v>0</v>
      </c>
      <c r="W283" s="9"/>
      <c r="X283" s="9"/>
      <c r="Y283" s="9"/>
      <c r="Z283" s="9"/>
      <c r="AA283" s="9"/>
      <c r="AB283" s="9"/>
      <c r="AC283" s="9"/>
      <c r="AD283" s="66">
        <f t="shared" si="450"/>
        <v>0</v>
      </c>
      <c r="AE283" s="9"/>
      <c r="AF283" s="9">
        <f t="shared" si="511"/>
        <v>0</v>
      </c>
      <c r="AG283" s="9"/>
      <c r="AH283" s="9"/>
      <c r="AI283" s="9"/>
      <c r="AJ283" s="9"/>
      <c r="AK283" s="9"/>
      <c r="AL283" s="9"/>
      <c r="AM283" s="9"/>
      <c r="AN283" s="9"/>
      <c r="AO283" s="66">
        <f t="shared" si="472"/>
        <v>0</v>
      </c>
      <c r="AP283" s="66">
        <f t="shared" si="473"/>
        <v>0</v>
      </c>
      <c r="AQ283" s="66">
        <f t="shared" si="474"/>
        <v>0</v>
      </c>
      <c r="AR283" s="9"/>
      <c r="AS283" s="9"/>
      <c r="AT283" s="9"/>
      <c r="AU283" s="9"/>
      <c r="AV283" s="9"/>
      <c r="AW283" s="9">
        <f t="shared" si="475"/>
        <v>0</v>
      </c>
      <c r="AX283" s="9" t="s">
        <v>48</v>
      </c>
      <c r="AY283" s="5">
        <v>0</v>
      </c>
      <c r="AZ283" s="5">
        <f t="shared" si="276"/>
        <v>0</v>
      </c>
    </row>
    <row r="284" spans="1:52" s="5" customFormat="1" ht="30">
      <c r="A284" s="149"/>
      <c r="B284" s="133"/>
      <c r="C284" s="150"/>
      <c r="D284" s="7" t="s">
        <v>21</v>
      </c>
      <c r="E284" s="7">
        <v>42028802</v>
      </c>
      <c r="F284" s="8" t="s">
        <v>45</v>
      </c>
      <c r="G284" s="7">
        <v>52</v>
      </c>
      <c r="H284" s="9"/>
      <c r="I284" s="9"/>
      <c r="J284" s="9"/>
      <c r="K284" s="9"/>
      <c r="L284" s="9"/>
      <c r="M284" s="9">
        <f t="shared" si="514"/>
        <v>0</v>
      </c>
      <c r="N284" s="9"/>
      <c r="O284" s="9">
        <f t="shared" ref="O284:O285" si="515">H284+N284</f>
        <v>0</v>
      </c>
      <c r="P284" s="9"/>
      <c r="Q284" s="9"/>
      <c r="R284" s="9"/>
      <c r="S284" s="9"/>
      <c r="T284" s="9">
        <f t="shared" ref="T284:T285" si="516">SUM(P284:S284)</f>
        <v>0</v>
      </c>
      <c r="U284" s="9">
        <v>0</v>
      </c>
      <c r="V284" s="9">
        <f t="shared" si="496"/>
        <v>0</v>
      </c>
      <c r="W284" s="9"/>
      <c r="X284" s="9"/>
      <c r="Y284" s="9"/>
      <c r="Z284" s="9"/>
      <c r="AA284" s="9"/>
      <c r="AB284" s="9"/>
      <c r="AC284" s="9"/>
      <c r="AD284" s="66">
        <f t="shared" si="450"/>
        <v>0</v>
      </c>
      <c r="AE284" s="9"/>
      <c r="AF284" s="9">
        <f t="shared" si="511"/>
        <v>0</v>
      </c>
      <c r="AG284" s="9"/>
      <c r="AH284" s="9"/>
      <c r="AI284" s="9"/>
      <c r="AJ284" s="9"/>
      <c r="AK284" s="9"/>
      <c r="AL284" s="9"/>
      <c r="AM284" s="9"/>
      <c r="AN284" s="9"/>
      <c r="AO284" s="66">
        <f t="shared" si="472"/>
        <v>0</v>
      </c>
      <c r="AP284" s="66">
        <f t="shared" si="473"/>
        <v>0</v>
      </c>
      <c r="AQ284" s="66">
        <f t="shared" si="474"/>
        <v>0</v>
      </c>
      <c r="AR284" s="9"/>
      <c r="AS284" s="9"/>
      <c r="AT284" s="9"/>
      <c r="AU284" s="9"/>
      <c r="AV284" s="9"/>
      <c r="AW284" s="9">
        <f t="shared" si="475"/>
        <v>0</v>
      </c>
      <c r="AX284" s="9" t="s">
        <v>48</v>
      </c>
      <c r="AY284" s="5">
        <v>0</v>
      </c>
      <c r="AZ284" s="5">
        <f t="shared" si="276"/>
        <v>0</v>
      </c>
    </row>
    <row r="285" spans="1:52" s="5" customFormat="1">
      <c r="A285" s="149"/>
      <c r="B285" s="133"/>
      <c r="C285" s="150"/>
      <c r="D285" s="7" t="s">
        <v>21</v>
      </c>
      <c r="E285" s="7">
        <v>42028803</v>
      </c>
      <c r="F285" s="8" t="s">
        <v>46</v>
      </c>
      <c r="G285" s="7">
        <v>52</v>
      </c>
      <c r="H285" s="9"/>
      <c r="I285" s="9"/>
      <c r="J285" s="9"/>
      <c r="K285" s="9"/>
      <c r="L285" s="9"/>
      <c r="M285" s="9">
        <f t="shared" si="514"/>
        <v>0</v>
      </c>
      <c r="N285" s="9"/>
      <c r="O285" s="9">
        <f t="shared" si="515"/>
        <v>0</v>
      </c>
      <c r="P285" s="9"/>
      <c r="Q285" s="9"/>
      <c r="R285" s="9"/>
      <c r="S285" s="9"/>
      <c r="T285" s="9">
        <f t="shared" si="516"/>
        <v>0</v>
      </c>
      <c r="U285" s="9">
        <v>0</v>
      </c>
      <c r="V285" s="9">
        <f t="shared" si="496"/>
        <v>0</v>
      </c>
      <c r="W285" s="9"/>
      <c r="X285" s="9"/>
      <c r="Y285" s="9"/>
      <c r="Z285" s="9"/>
      <c r="AA285" s="9"/>
      <c r="AB285" s="9"/>
      <c r="AC285" s="9"/>
      <c r="AD285" s="66">
        <f t="shared" si="450"/>
        <v>0</v>
      </c>
      <c r="AE285" s="9"/>
      <c r="AF285" s="9">
        <f t="shared" si="511"/>
        <v>0</v>
      </c>
      <c r="AG285" s="9"/>
      <c r="AH285" s="9"/>
      <c r="AI285" s="9"/>
      <c r="AJ285" s="9"/>
      <c r="AK285" s="9"/>
      <c r="AL285" s="9"/>
      <c r="AM285" s="9"/>
      <c r="AN285" s="9"/>
      <c r="AO285" s="66">
        <f t="shared" si="472"/>
        <v>0</v>
      </c>
      <c r="AP285" s="66">
        <f t="shared" si="473"/>
        <v>0</v>
      </c>
      <c r="AQ285" s="66">
        <f t="shared" si="474"/>
        <v>0</v>
      </c>
      <c r="AR285" s="9"/>
      <c r="AS285" s="9"/>
      <c r="AT285" s="9"/>
      <c r="AU285" s="9"/>
      <c r="AV285" s="9"/>
      <c r="AW285" s="9">
        <f t="shared" si="475"/>
        <v>0</v>
      </c>
      <c r="AX285" s="9" t="s">
        <v>48</v>
      </c>
      <c r="AY285" s="5">
        <v>0</v>
      </c>
      <c r="AZ285" s="5">
        <f t="shared" si="276"/>
        <v>0</v>
      </c>
    </row>
    <row r="286" spans="1:52" s="5" customFormat="1">
      <c r="A286" s="149"/>
      <c r="B286" s="133"/>
      <c r="C286" s="150"/>
      <c r="D286" s="7" t="s">
        <v>21</v>
      </c>
      <c r="E286" s="7"/>
      <c r="F286" s="7" t="s">
        <v>19</v>
      </c>
      <c r="G286" s="7">
        <v>52</v>
      </c>
      <c r="H286" s="9">
        <f>H291-H283-H284-H285</f>
        <v>0</v>
      </c>
      <c r="I286" s="9">
        <f t="shared" ref="I286:T286" si="517">I291-I283-I284-I285</f>
        <v>100000</v>
      </c>
      <c r="J286" s="9">
        <f t="shared" si="517"/>
        <v>0</v>
      </c>
      <c r="K286" s="9">
        <f t="shared" si="517"/>
        <v>0</v>
      </c>
      <c r="L286" s="9">
        <f t="shared" si="517"/>
        <v>0</v>
      </c>
      <c r="M286" s="9">
        <f t="shared" si="517"/>
        <v>100000</v>
      </c>
      <c r="N286" s="9">
        <f t="shared" si="517"/>
        <v>5062.1499999999996</v>
      </c>
      <c r="O286" s="9">
        <f t="shared" si="517"/>
        <v>5062.1499999999996</v>
      </c>
      <c r="P286" s="9">
        <f t="shared" si="517"/>
        <v>3943000</v>
      </c>
      <c r="Q286" s="9">
        <f t="shared" si="517"/>
        <v>0</v>
      </c>
      <c r="R286" s="9">
        <f t="shared" si="517"/>
        <v>0</v>
      </c>
      <c r="S286" s="9">
        <f t="shared" si="517"/>
        <v>0</v>
      </c>
      <c r="T286" s="9">
        <f t="shared" si="517"/>
        <v>3943000</v>
      </c>
      <c r="U286" s="9">
        <f t="shared" ref="U286:V286" si="518">U291-U283-U284-U285</f>
        <v>802145.03</v>
      </c>
      <c r="V286" s="9">
        <f t="shared" si="518"/>
        <v>807207.18</v>
      </c>
      <c r="W286" s="9">
        <f t="shared" ref="W286:AD286" si="519">W291-W283-W284-W285</f>
        <v>1011000</v>
      </c>
      <c r="X286" s="9">
        <f t="shared" si="519"/>
        <v>2130000</v>
      </c>
      <c r="Y286" s="9">
        <f t="shared" si="519"/>
        <v>0</v>
      </c>
      <c r="Z286" s="9">
        <f t="shared" si="519"/>
        <v>0</v>
      </c>
      <c r="AA286" s="9"/>
      <c r="AB286" s="9"/>
      <c r="AC286" s="9"/>
      <c r="AD286" s="66">
        <f t="shared" si="519"/>
        <v>3141000</v>
      </c>
      <c r="AE286" s="9">
        <f t="shared" ref="AE286:AF286" si="520">AE291-AE283-AE284-AE285</f>
        <v>1722462.22</v>
      </c>
      <c r="AF286" s="9">
        <f t="shared" si="520"/>
        <v>2529669.4</v>
      </c>
      <c r="AG286" s="9">
        <f t="shared" ref="AG286:AW286" si="521">AG291-AG283-AG284-AG285</f>
        <v>253000</v>
      </c>
      <c r="AH286" s="9">
        <f t="shared" si="521"/>
        <v>0</v>
      </c>
      <c r="AI286" s="9">
        <f t="shared" si="521"/>
        <v>1165000</v>
      </c>
      <c r="AJ286" s="9">
        <f t="shared" si="521"/>
        <v>0</v>
      </c>
      <c r="AK286" s="9">
        <f t="shared" si="521"/>
        <v>0</v>
      </c>
      <c r="AL286" s="9">
        <f t="shared" si="521"/>
        <v>0</v>
      </c>
      <c r="AM286" s="9">
        <f t="shared" si="521"/>
        <v>0</v>
      </c>
      <c r="AN286" s="9">
        <f t="shared" si="521"/>
        <v>0</v>
      </c>
      <c r="AO286" s="66">
        <f t="shared" si="521"/>
        <v>1418000</v>
      </c>
      <c r="AP286" s="66">
        <f t="shared" si="521"/>
        <v>0</v>
      </c>
      <c r="AQ286" s="66">
        <f t="shared" si="521"/>
        <v>1418000</v>
      </c>
      <c r="AR286" s="9">
        <f t="shared" si="521"/>
        <v>-364.63</v>
      </c>
      <c r="AS286" s="9">
        <f t="shared" si="521"/>
        <v>0</v>
      </c>
      <c r="AT286" s="9">
        <f t="shared" si="521"/>
        <v>0</v>
      </c>
      <c r="AU286" s="9">
        <f t="shared" si="521"/>
        <v>0</v>
      </c>
      <c r="AV286" s="9">
        <f t="shared" si="521"/>
        <v>0</v>
      </c>
      <c r="AW286" s="9">
        <f t="shared" si="521"/>
        <v>3947304.77</v>
      </c>
      <c r="AX286" s="9" t="s">
        <v>48</v>
      </c>
      <c r="AY286" s="5">
        <v>3947304.77</v>
      </c>
      <c r="AZ286" s="5">
        <f t="shared" si="276"/>
        <v>0</v>
      </c>
    </row>
    <row r="287" spans="1:52" s="5" customFormat="1">
      <c r="A287" s="149"/>
      <c r="B287" s="133"/>
      <c r="C287" s="150"/>
      <c r="D287" s="7" t="s">
        <v>21</v>
      </c>
      <c r="E287" s="7"/>
      <c r="F287" s="7" t="s">
        <v>47</v>
      </c>
      <c r="G287" s="7">
        <v>52</v>
      </c>
      <c r="H287" s="9">
        <f t="shared" ref="H287:M287" si="522">SUM(H283:H286)</f>
        <v>0</v>
      </c>
      <c r="I287" s="9">
        <f t="shared" si="522"/>
        <v>100000</v>
      </c>
      <c r="J287" s="9">
        <f t="shared" si="522"/>
        <v>0</v>
      </c>
      <c r="K287" s="9">
        <f t="shared" si="522"/>
        <v>0</v>
      </c>
      <c r="L287" s="9">
        <f t="shared" si="522"/>
        <v>0</v>
      </c>
      <c r="M287" s="9">
        <f t="shared" si="522"/>
        <v>100000</v>
      </c>
      <c r="N287" s="9">
        <f t="shared" ref="N287:T287" si="523">SUM(N283:N286)</f>
        <v>5062.1499999999996</v>
      </c>
      <c r="O287" s="9">
        <f t="shared" si="523"/>
        <v>5062.1499999999996</v>
      </c>
      <c r="P287" s="9">
        <f t="shared" si="523"/>
        <v>3943000</v>
      </c>
      <c r="Q287" s="9">
        <f t="shared" si="523"/>
        <v>0</v>
      </c>
      <c r="R287" s="9">
        <f t="shared" si="523"/>
        <v>0</v>
      </c>
      <c r="S287" s="9">
        <f t="shared" si="523"/>
        <v>0</v>
      </c>
      <c r="T287" s="9">
        <f t="shared" si="523"/>
        <v>3943000</v>
      </c>
      <c r="U287" s="9">
        <f t="shared" ref="U287:V287" si="524">SUM(U283:U286)</f>
        <v>802145.03</v>
      </c>
      <c r="V287" s="9">
        <f t="shared" si="524"/>
        <v>807207.18</v>
      </c>
      <c r="W287" s="9">
        <f t="shared" ref="W287:AD287" si="525">SUM(W283:W286)</f>
        <v>1011000</v>
      </c>
      <c r="X287" s="9">
        <f t="shared" si="525"/>
        <v>2130000</v>
      </c>
      <c r="Y287" s="9">
        <f t="shared" si="525"/>
        <v>0</v>
      </c>
      <c r="Z287" s="9">
        <f t="shared" si="525"/>
        <v>0</v>
      </c>
      <c r="AA287" s="9"/>
      <c r="AB287" s="9"/>
      <c r="AC287" s="9"/>
      <c r="AD287" s="66">
        <f t="shared" si="525"/>
        <v>3141000</v>
      </c>
      <c r="AE287" s="9">
        <f t="shared" ref="AE287:AF287" si="526">SUM(AE283:AE286)</f>
        <v>1722462.22</v>
      </c>
      <c r="AF287" s="9">
        <f t="shared" si="526"/>
        <v>2529669.4</v>
      </c>
      <c r="AG287" s="9">
        <f t="shared" ref="AG287:AW287" si="527">SUM(AG283:AG286)</f>
        <v>253000</v>
      </c>
      <c r="AH287" s="9">
        <f t="shared" si="527"/>
        <v>0</v>
      </c>
      <c r="AI287" s="9">
        <f t="shared" si="527"/>
        <v>1165000</v>
      </c>
      <c r="AJ287" s="9">
        <f t="shared" si="527"/>
        <v>0</v>
      </c>
      <c r="AK287" s="9">
        <f t="shared" si="527"/>
        <v>0</v>
      </c>
      <c r="AL287" s="9">
        <f t="shared" si="527"/>
        <v>0</v>
      </c>
      <c r="AM287" s="9">
        <f t="shared" si="527"/>
        <v>0</v>
      </c>
      <c r="AN287" s="9">
        <f t="shared" si="527"/>
        <v>0</v>
      </c>
      <c r="AO287" s="66">
        <f t="shared" si="527"/>
        <v>1418000</v>
      </c>
      <c r="AP287" s="66">
        <f t="shared" si="527"/>
        <v>0</v>
      </c>
      <c r="AQ287" s="66">
        <f t="shared" si="527"/>
        <v>1418000</v>
      </c>
      <c r="AR287" s="9">
        <f t="shared" si="527"/>
        <v>-364.63</v>
      </c>
      <c r="AS287" s="9">
        <f t="shared" si="527"/>
        <v>0</v>
      </c>
      <c r="AT287" s="9">
        <f t="shared" si="527"/>
        <v>0</v>
      </c>
      <c r="AU287" s="9">
        <f t="shared" si="527"/>
        <v>0</v>
      </c>
      <c r="AV287" s="9">
        <f t="shared" si="527"/>
        <v>0</v>
      </c>
      <c r="AW287" s="9">
        <f t="shared" si="527"/>
        <v>3947304.77</v>
      </c>
      <c r="AX287" s="9" t="s">
        <v>48</v>
      </c>
      <c r="AY287" s="5">
        <v>3947304.77</v>
      </c>
      <c r="AZ287" s="5">
        <f t="shared" ref="AZ287:AZ357" si="528">AW287-AY287</f>
        <v>0</v>
      </c>
    </row>
    <row r="288" spans="1:52" s="4" customFormat="1" ht="30">
      <c r="A288" s="149"/>
      <c r="B288" s="133"/>
      <c r="C288" s="150"/>
      <c r="D288" s="25" t="s">
        <v>22</v>
      </c>
      <c r="E288" s="25">
        <v>6001</v>
      </c>
      <c r="F288" s="37" t="s">
        <v>44</v>
      </c>
      <c r="G288" s="25">
        <v>52</v>
      </c>
      <c r="H288" s="26"/>
      <c r="I288" s="26"/>
      <c r="J288" s="26"/>
      <c r="K288" s="26"/>
      <c r="L288" s="26"/>
      <c r="M288" s="26">
        <f t="shared" ref="M288:M290" si="529">SUM(I288:L288)</f>
        <v>0</v>
      </c>
      <c r="N288" s="26"/>
      <c r="O288" s="26">
        <f t="shared" ref="O288:O290" si="530">H288+N288</f>
        <v>0</v>
      </c>
      <c r="P288" s="26"/>
      <c r="Q288" s="26"/>
      <c r="R288" s="26"/>
      <c r="S288" s="26"/>
      <c r="T288" s="26">
        <f t="shared" ref="T288:T290" si="531">SUM(P288:S288)</f>
        <v>0</v>
      </c>
      <c r="U288" s="26"/>
      <c r="V288" s="26">
        <f t="shared" ref="V288:V294" si="532">O288+U288</f>
        <v>0</v>
      </c>
      <c r="W288" s="26"/>
      <c r="X288" s="26"/>
      <c r="Y288" s="26"/>
      <c r="Z288" s="26"/>
      <c r="AA288" s="26"/>
      <c r="AB288" s="26"/>
      <c r="AC288" s="26"/>
      <c r="AD288" s="67">
        <f t="shared" si="450"/>
        <v>0</v>
      </c>
      <c r="AE288" s="26"/>
      <c r="AF288" s="26">
        <f t="shared" ref="AF288:AF294" si="533">V288+AE288</f>
        <v>0</v>
      </c>
      <c r="AG288" s="26"/>
      <c r="AH288" s="26"/>
      <c r="AI288" s="26"/>
      <c r="AJ288" s="26"/>
      <c r="AK288" s="26"/>
      <c r="AL288" s="26"/>
      <c r="AM288" s="26"/>
      <c r="AN288" s="26"/>
      <c r="AO288" s="67">
        <f t="shared" si="472"/>
        <v>0</v>
      </c>
      <c r="AP288" s="67">
        <f t="shared" si="473"/>
        <v>0</v>
      </c>
      <c r="AQ288" s="67">
        <f t="shared" si="474"/>
        <v>0</v>
      </c>
      <c r="AR288" s="26"/>
      <c r="AS288" s="26"/>
      <c r="AT288" s="26"/>
      <c r="AU288" s="26"/>
      <c r="AV288" s="26"/>
      <c r="AW288" s="26">
        <f t="shared" si="475"/>
        <v>0</v>
      </c>
      <c r="AX288" s="26" t="s">
        <v>48</v>
      </c>
      <c r="AY288" s="4">
        <v>0</v>
      </c>
      <c r="AZ288" s="4">
        <f t="shared" si="528"/>
        <v>0</v>
      </c>
    </row>
    <row r="289" spans="1:52" s="4" customFormat="1" ht="45">
      <c r="A289" s="149"/>
      <c r="B289" s="133"/>
      <c r="C289" s="150"/>
      <c r="D289" s="25" t="s">
        <v>22</v>
      </c>
      <c r="E289" s="25"/>
      <c r="F289" s="37" t="s">
        <v>91</v>
      </c>
      <c r="G289" s="25">
        <v>52</v>
      </c>
      <c r="H289" s="26"/>
      <c r="I289" s="26">
        <v>100000</v>
      </c>
      <c r="J289" s="26"/>
      <c r="K289" s="26"/>
      <c r="L289" s="26"/>
      <c r="M289" s="26">
        <f t="shared" si="529"/>
        <v>100000</v>
      </c>
      <c r="N289" s="26">
        <f>18476.59-13414.44</f>
        <v>5062.1499999999996</v>
      </c>
      <c r="O289" s="26">
        <f t="shared" si="530"/>
        <v>5062.1499999999996</v>
      </c>
      <c r="P289" s="26">
        <f>3947304.77-O289+171.819999999832+585.560000000055</f>
        <v>3943000</v>
      </c>
      <c r="Q289" s="26"/>
      <c r="R289" s="26"/>
      <c r="S289" s="26"/>
      <c r="T289" s="26">
        <f t="shared" si="531"/>
        <v>3943000</v>
      </c>
      <c r="U289" s="26">
        <v>802145.03</v>
      </c>
      <c r="V289" s="26">
        <f t="shared" si="532"/>
        <v>807207.18</v>
      </c>
      <c r="W289" s="26">
        <v>1011000</v>
      </c>
      <c r="X289" s="26">
        <v>2130000</v>
      </c>
      <c r="Y289" s="26"/>
      <c r="Z289" s="26"/>
      <c r="AA289" s="26"/>
      <c r="AB289" s="26"/>
      <c r="AC289" s="26"/>
      <c r="AD289" s="67">
        <f t="shared" si="450"/>
        <v>3141000</v>
      </c>
      <c r="AE289" s="26">
        <v>1722462.22</v>
      </c>
      <c r="AF289" s="26">
        <f t="shared" si="533"/>
        <v>2529669.4</v>
      </c>
      <c r="AG289" s="26">
        <f>252012.04+987.96</f>
        <v>253000</v>
      </c>
      <c r="AH289" s="26"/>
      <c r="AI289" s="26">
        <f>1165623.33-987.96+364.63</f>
        <v>1165000</v>
      </c>
      <c r="AJ289" s="26"/>
      <c r="AK289" s="26"/>
      <c r="AL289" s="26"/>
      <c r="AM289" s="26"/>
      <c r="AN289" s="26"/>
      <c r="AO289" s="67">
        <f t="shared" si="472"/>
        <v>1418000</v>
      </c>
      <c r="AP289" s="67">
        <f t="shared" si="473"/>
        <v>0</v>
      </c>
      <c r="AQ289" s="67">
        <f t="shared" si="474"/>
        <v>1418000</v>
      </c>
      <c r="AR289" s="26">
        <v>-364.63</v>
      </c>
      <c r="AS289" s="26"/>
      <c r="AT289" s="26"/>
      <c r="AU289" s="26"/>
      <c r="AV289" s="26"/>
      <c r="AW289" s="26">
        <f t="shared" si="475"/>
        <v>3947304.77</v>
      </c>
      <c r="AX289" s="26" t="s">
        <v>48</v>
      </c>
      <c r="AY289" s="4">
        <v>3947304.77</v>
      </c>
      <c r="AZ289" s="4">
        <f t="shared" si="528"/>
        <v>0</v>
      </c>
    </row>
    <row r="290" spans="1:52" s="4" customFormat="1">
      <c r="A290" s="149"/>
      <c r="B290" s="133"/>
      <c r="C290" s="150"/>
      <c r="D290" s="25" t="s">
        <v>22</v>
      </c>
      <c r="E290" s="25">
        <v>6003</v>
      </c>
      <c r="F290" s="37" t="s">
        <v>46</v>
      </c>
      <c r="G290" s="25">
        <v>52</v>
      </c>
      <c r="H290" s="26"/>
      <c r="I290" s="26"/>
      <c r="J290" s="26"/>
      <c r="K290" s="26"/>
      <c r="L290" s="26"/>
      <c r="M290" s="26">
        <f t="shared" si="529"/>
        <v>0</v>
      </c>
      <c r="N290" s="26"/>
      <c r="O290" s="26">
        <f t="shared" si="530"/>
        <v>0</v>
      </c>
      <c r="P290" s="26"/>
      <c r="Q290" s="26"/>
      <c r="R290" s="26"/>
      <c r="S290" s="26"/>
      <c r="T290" s="26">
        <f t="shared" si="531"/>
        <v>0</v>
      </c>
      <c r="U290" s="26"/>
      <c r="V290" s="26">
        <f t="shared" si="532"/>
        <v>0</v>
      </c>
      <c r="W290" s="26"/>
      <c r="X290" s="26"/>
      <c r="Y290" s="26"/>
      <c r="Z290" s="26"/>
      <c r="AA290" s="26"/>
      <c r="AB290" s="26"/>
      <c r="AC290" s="26"/>
      <c r="AD290" s="67">
        <f t="shared" si="450"/>
        <v>0</v>
      </c>
      <c r="AE290" s="26"/>
      <c r="AF290" s="26">
        <f t="shared" si="533"/>
        <v>0</v>
      </c>
      <c r="AG290" s="26"/>
      <c r="AH290" s="26"/>
      <c r="AI290" s="26"/>
      <c r="AJ290" s="26"/>
      <c r="AK290" s="26"/>
      <c r="AL290" s="26"/>
      <c r="AM290" s="26"/>
      <c r="AN290" s="26"/>
      <c r="AO290" s="67">
        <f t="shared" si="472"/>
        <v>0</v>
      </c>
      <c r="AP290" s="67">
        <f t="shared" si="473"/>
        <v>0</v>
      </c>
      <c r="AQ290" s="67">
        <f t="shared" si="474"/>
        <v>0</v>
      </c>
      <c r="AR290" s="26"/>
      <c r="AS290" s="26"/>
      <c r="AT290" s="26"/>
      <c r="AU290" s="26"/>
      <c r="AV290" s="26"/>
      <c r="AW290" s="26">
        <f t="shared" si="475"/>
        <v>0</v>
      </c>
      <c r="AX290" s="26" t="s">
        <v>48</v>
      </c>
      <c r="AY290" s="4">
        <v>0</v>
      </c>
      <c r="AZ290" s="4">
        <f t="shared" si="528"/>
        <v>0</v>
      </c>
    </row>
    <row r="291" spans="1:52" s="4" customFormat="1">
      <c r="A291" s="149"/>
      <c r="B291" s="133"/>
      <c r="C291" s="150"/>
      <c r="D291" s="25" t="s">
        <v>22</v>
      </c>
      <c r="E291" s="25"/>
      <c r="F291" s="25" t="s">
        <v>29</v>
      </c>
      <c r="G291" s="25">
        <v>52</v>
      </c>
      <c r="H291" s="26">
        <f>SUM(H288:H290)</f>
        <v>0</v>
      </c>
      <c r="I291" s="26">
        <f t="shared" ref="I291:AW291" si="534">SUM(I288:I290)</f>
        <v>100000</v>
      </c>
      <c r="J291" s="26">
        <f t="shared" si="534"/>
        <v>0</v>
      </c>
      <c r="K291" s="26">
        <f t="shared" si="534"/>
        <v>0</v>
      </c>
      <c r="L291" s="26">
        <f t="shared" si="534"/>
        <v>0</v>
      </c>
      <c r="M291" s="26">
        <f t="shared" si="534"/>
        <v>100000</v>
      </c>
      <c r="N291" s="26">
        <f t="shared" si="534"/>
        <v>5062.1499999999996</v>
      </c>
      <c r="O291" s="26">
        <f t="shared" si="534"/>
        <v>5062.1499999999996</v>
      </c>
      <c r="P291" s="26">
        <f t="shared" si="534"/>
        <v>3943000</v>
      </c>
      <c r="Q291" s="26">
        <f t="shared" si="534"/>
        <v>0</v>
      </c>
      <c r="R291" s="26">
        <f t="shared" si="534"/>
        <v>0</v>
      </c>
      <c r="S291" s="26">
        <f t="shared" si="534"/>
        <v>0</v>
      </c>
      <c r="T291" s="26">
        <f t="shared" si="534"/>
        <v>3943000</v>
      </c>
      <c r="U291" s="26">
        <f t="shared" si="534"/>
        <v>802145.03</v>
      </c>
      <c r="V291" s="26">
        <f t="shared" si="534"/>
        <v>807207.18</v>
      </c>
      <c r="W291" s="26">
        <f t="shared" si="534"/>
        <v>1011000</v>
      </c>
      <c r="X291" s="26">
        <f t="shared" si="534"/>
        <v>2130000</v>
      </c>
      <c r="Y291" s="26">
        <f t="shared" si="534"/>
        <v>0</v>
      </c>
      <c r="Z291" s="26">
        <f t="shared" si="534"/>
        <v>0</v>
      </c>
      <c r="AA291" s="26"/>
      <c r="AB291" s="26"/>
      <c r="AC291" s="26"/>
      <c r="AD291" s="67">
        <f t="shared" si="534"/>
        <v>3141000</v>
      </c>
      <c r="AE291" s="26">
        <f t="shared" si="534"/>
        <v>1722462.22</v>
      </c>
      <c r="AF291" s="26">
        <f t="shared" si="534"/>
        <v>2529669.4</v>
      </c>
      <c r="AG291" s="26">
        <f t="shared" si="534"/>
        <v>253000</v>
      </c>
      <c r="AH291" s="26">
        <f t="shared" si="534"/>
        <v>0</v>
      </c>
      <c r="AI291" s="26">
        <f t="shared" si="534"/>
        <v>1165000</v>
      </c>
      <c r="AJ291" s="26">
        <f t="shared" si="534"/>
        <v>0</v>
      </c>
      <c r="AK291" s="26">
        <f t="shared" si="534"/>
        <v>0</v>
      </c>
      <c r="AL291" s="26">
        <f t="shared" si="534"/>
        <v>0</v>
      </c>
      <c r="AM291" s="26">
        <f t="shared" si="534"/>
        <v>0</v>
      </c>
      <c r="AN291" s="26">
        <f t="shared" si="534"/>
        <v>0</v>
      </c>
      <c r="AO291" s="67">
        <f t="shared" si="534"/>
        <v>1418000</v>
      </c>
      <c r="AP291" s="67">
        <f t="shared" si="534"/>
        <v>0</v>
      </c>
      <c r="AQ291" s="67">
        <f t="shared" si="534"/>
        <v>1418000</v>
      </c>
      <c r="AR291" s="26">
        <f t="shared" si="534"/>
        <v>-364.63</v>
      </c>
      <c r="AS291" s="26">
        <f t="shared" si="534"/>
        <v>0</v>
      </c>
      <c r="AT291" s="26">
        <f t="shared" si="534"/>
        <v>0</v>
      </c>
      <c r="AU291" s="26">
        <f t="shared" si="534"/>
        <v>0</v>
      </c>
      <c r="AV291" s="26">
        <f t="shared" si="534"/>
        <v>0</v>
      </c>
      <c r="AW291" s="26">
        <f t="shared" si="534"/>
        <v>3947304.77</v>
      </c>
      <c r="AX291" s="26" t="s">
        <v>48</v>
      </c>
      <c r="AY291" s="4">
        <v>3947304.77</v>
      </c>
      <c r="AZ291" s="4">
        <f t="shared" si="528"/>
        <v>0</v>
      </c>
    </row>
    <row r="292" spans="1:52" s="5" customFormat="1" ht="30">
      <c r="A292" s="149" t="s">
        <v>264</v>
      </c>
      <c r="B292" s="133" t="s">
        <v>26</v>
      </c>
      <c r="C292" s="150">
        <v>66</v>
      </c>
      <c r="D292" s="7" t="s">
        <v>21</v>
      </c>
      <c r="E292" s="7">
        <v>42028801</v>
      </c>
      <c r="F292" s="8" t="s">
        <v>44</v>
      </c>
      <c r="G292" s="8" t="s">
        <v>132</v>
      </c>
      <c r="H292" s="9"/>
      <c r="I292" s="9"/>
      <c r="J292" s="9"/>
      <c r="K292" s="9"/>
      <c r="L292" s="9"/>
      <c r="M292" s="9">
        <f t="shared" ref="M292:M294" si="535">SUM(I292:L292)</f>
        <v>0</v>
      </c>
      <c r="N292" s="9"/>
      <c r="O292" s="9">
        <f>H292+N292</f>
        <v>0</v>
      </c>
      <c r="P292" s="9"/>
      <c r="Q292" s="9"/>
      <c r="R292" s="9"/>
      <c r="S292" s="9"/>
      <c r="T292" s="9">
        <f>SUM(P292:S292)</f>
        <v>0</v>
      </c>
      <c r="U292" s="9">
        <v>0</v>
      </c>
      <c r="V292" s="9">
        <f t="shared" si="532"/>
        <v>0</v>
      </c>
      <c r="W292" s="9"/>
      <c r="X292" s="9"/>
      <c r="Y292" s="9"/>
      <c r="Z292" s="9"/>
      <c r="AA292" s="9"/>
      <c r="AB292" s="9"/>
      <c r="AC292" s="9"/>
      <c r="AD292" s="66">
        <f t="shared" si="450"/>
        <v>0</v>
      </c>
      <c r="AE292" s="9"/>
      <c r="AF292" s="9">
        <f t="shared" si="533"/>
        <v>0</v>
      </c>
      <c r="AG292" s="9"/>
      <c r="AH292" s="9"/>
      <c r="AI292" s="9"/>
      <c r="AJ292" s="9"/>
      <c r="AK292" s="9"/>
      <c r="AL292" s="9"/>
      <c r="AM292" s="9"/>
      <c r="AN292" s="9"/>
      <c r="AO292" s="66">
        <f t="shared" si="472"/>
        <v>0</v>
      </c>
      <c r="AP292" s="66">
        <f t="shared" si="473"/>
        <v>0</v>
      </c>
      <c r="AQ292" s="66">
        <f t="shared" si="474"/>
        <v>0</v>
      </c>
      <c r="AR292" s="9"/>
      <c r="AS292" s="9"/>
      <c r="AT292" s="9"/>
      <c r="AU292" s="9"/>
      <c r="AV292" s="9"/>
      <c r="AW292" s="9">
        <f t="shared" si="475"/>
        <v>0</v>
      </c>
      <c r="AX292" s="9" t="s">
        <v>48</v>
      </c>
      <c r="AY292" s="5">
        <v>0</v>
      </c>
      <c r="AZ292" s="5">
        <f t="shared" si="528"/>
        <v>0</v>
      </c>
    </row>
    <row r="293" spans="1:52" s="5" customFormat="1" ht="30">
      <c r="A293" s="149"/>
      <c r="B293" s="133"/>
      <c r="C293" s="150"/>
      <c r="D293" s="7" t="s">
        <v>21</v>
      </c>
      <c r="E293" s="7">
        <v>42028802</v>
      </c>
      <c r="F293" s="8" t="s">
        <v>45</v>
      </c>
      <c r="G293" s="8" t="s">
        <v>132</v>
      </c>
      <c r="H293" s="9"/>
      <c r="I293" s="9"/>
      <c r="J293" s="9"/>
      <c r="K293" s="9"/>
      <c r="L293" s="9"/>
      <c r="M293" s="9">
        <f t="shared" si="535"/>
        <v>0</v>
      </c>
      <c r="N293" s="9"/>
      <c r="O293" s="9">
        <f t="shared" ref="O293:O294" si="536">H293+N293</f>
        <v>0</v>
      </c>
      <c r="P293" s="9"/>
      <c r="Q293" s="9"/>
      <c r="R293" s="9"/>
      <c r="S293" s="9"/>
      <c r="T293" s="9">
        <f t="shared" ref="T293:T294" si="537">SUM(P293:S293)</f>
        <v>0</v>
      </c>
      <c r="U293" s="9">
        <v>0</v>
      </c>
      <c r="V293" s="9">
        <f t="shared" si="532"/>
        <v>0</v>
      </c>
      <c r="W293" s="9"/>
      <c r="X293" s="9"/>
      <c r="Y293" s="9"/>
      <c r="Z293" s="9"/>
      <c r="AA293" s="9"/>
      <c r="AB293" s="9"/>
      <c r="AC293" s="9"/>
      <c r="AD293" s="66">
        <f t="shared" si="450"/>
        <v>0</v>
      </c>
      <c r="AE293" s="9"/>
      <c r="AF293" s="9">
        <f t="shared" si="533"/>
        <v>0</v>
      </c>
      <c r="AG293" s="9"/>
      <c r="AH293" s="9"/>
      <c r="AI293" s="9"/>
      <c r="AJ293" s="9"/>
      <c r="AK293" s="9"/>
      <c r="AL293" s="9"/>
      <c r="AM293" s="9"/>
      <c r="AN293" s="9"/>
      <c r="AO293" s="66">
        <f t="shared" si="472"/>
        <v>0</v>
      </c>
      <c r="AP293" s="66">
        <f t="shared" si="473"/>
        <v>0</v>
      </c>
      <c r="AQ293" s="66">
        <f t="shared" si="474"/>
        <v>0</v>
      </c>
      <c r="AR293" s="9"/>
      <c r="AS293" s="9"/>
      <c r="AT293" s="9"/>
      <c r="AU293" s="9"/>
      <c r="AV293" s="9"/>
      <c r="AW293" s="9">
        <f t="shared" si="475"/>
        <v>0</v>
      </c>
      <c r="AX293" s="9" t="s">
        <v>48</v>
      </c>
      <c r="AY293" s="5">
        <v>0</v>
      </c>
      <c r="AZ293" s="5">
        <f t="shared" si="528"/>
        <v>0</v>
      </c>
    </row>
    <row r="294" spans="1:52" s="5" customFormat="1" ht="30">
      <c r="A294" s="149"/>
      <c r="B294" s="133"/>
      <c r="C294" s="150"/>
      <c r="D294" s="7" t="s">
        <v>21</v>
      </c>
      <c r="E294" s="7">
        <v>42028803</v>
      </c>
      <c r="F294" s="8" t="s">
        <v>46</v>
      </c>
      <c r="G294" s="8" t="s">
        <v>132</v>
      </c>
      <c r="H294" s="9"/>
      <c r="I294" s="9"/>
      <c r="J294" s="9"/>
      <c r="K294" s="9"/>
      <c r="L294" s="9"/>
      <c r="M294" s="9">
        <f t="shared" si="535"/>
        <v>0</v>
      </c>
      <c r="N294" s="9"/>
      <c r="O294" s="9">
        <f t="shared" si="536"/>
        <v>0</v>
      </c>
      <c r="P294" s="9"/>
      <c r="Q294" s="9"/>
      <c r="R294" s="9"/>
      <c r="S294" s="9"/>
      <c r="T294" s="9">
        <f t="shared" si="537"/>
        <v>0</v>
      </c>
      <c r="U294" s="9"/>
      <c r="V294" s="9">
        <f t="shared" si="532"/>
        <v>0</v>
      </c>
      <c r="W294" s="9"/>
      <c r="X294" s="9"/>
      <c r="Y294" s="9"/>
      <c r="Z294" s="9"/>
      <c r="AA294" s="9"/>
      <c r="AB294" s="9"/>
      <c r="AC294" s="9"/>
      <c r="AD294" s="66">
        <f t="shared" si="450"/>
        <v>0</v>
      </c>
      <c r="AE294" s="9"/>
      <c r="AF294" s="9">
        <f t="shared" si="533"/>
        <v>0</v>
      </c>
      <c r="AG294" s="9"/>
      <c r="AH294" s="9"/>
      <c r="AI294" s="9"/>
      <c r="AJ294" s="9"/>
      <c r="AK294" s="9"/>
      <c r="AL294" s="9"/>
      <c r="AM294" s="9"/>
      <c r="AN294" s="9"/>
      <c r="AO294" s="66">
        <f t="shared" si="472"/>
        <v>0</v>
      </c>
      <c r="AP294" s="66">
        <f t="shared" si="473"/>
        <v>0</v>
      </c>
      <c r="AQ294" s="66">
        <f t="shared" si="474"/>
        <v>0</v>
      </c>
      <c r="AR294" s="9"/>
      <c r="AS294" s="9"/>
      <c r="AT294" s="9"/>
      <c r="AU294" s="9"/>
      <c r="AV294" s="9"/>
      <c r="AW294" s="9">
        <f t="shared" si="475"/>
        <v>0</v>
      </c>
      <c r="AX294" s="9" t="s">
        <v>48</v>
      </c>
      <c r="AY294" s="5">
        <v>0</v>
      </c>
      <c r="AZ294" s="5">
        <f t="shared" si="528"/>
        <v>0</v>
      </c>
    </row>
    <row r="295" spans="1:52" s="5" customFormat="1" ht="30">
      <c r="A295" s="149"/>
      <c r="B295" s="133"/>
      <c r="C295" s="150"/>
      <c r="D295" s="7" t="s">
        <v>21</v>
      </c>
      <c r="E295" s="7"/>
      <c r="F295" s="7" t="s">
        <v>19</v>
      </c>
      <c r="G295" s="8" t="s">
        <v>132</v>
      </c>
      <c r="H295" s="9">
        <f>H300-H292-H293-H294</f>
        <v>0</v>
      </c>
      <c r="I295" s="9">
        <f t="shared" ref="I295:Z295" si="538">I300-I292-I293-I294</f>
        <v>100000</v>
      </c>
      <c r="J295" s="9">
        <f t="shared" si="538"/>
        <v>0</v>
      </c>
      <c r="K295" s="9">
        <f t="shared" si="538"/>
        <v>0</v>
      </c>
      <c r="L295" s="9">
        <f t="shared" si="538"/>
        <v>0</v>
      </c>
      <c r="M295" s="9">
        <f t="shared" si="538"/>
        <v>100000</v>
      </c>
      <c r="N295" s="9">
        <f t="shared" si="538"/>
        <v>0</v>
      </c>
      <c r="O295" s="9">
        <f t="shared" si="538"/>
        <v>0</v>
      </c>
      <c r="P295" s="9">
        <f t="shared" si="538"/>
        <v>1349000</v>
      </c>
      <c r="Q295" s="9">
        <f t="shared" si="538"/>
        <v>0</v>
      </c>
      <c r="R295" s="9">
        <f t="shared" si="538"/>
        <v>0</v>
      </c>
      <c r="S295" s="9">
        <f t="shared" si="538"/>
        <v>0</v>
      </c>
      <c r="T295" s="9">
        <f t="shared" si="538"/>
        <v>1349000</v>
      </c>
      <c r="U295" s="9">
        <f t="shared" ref="U295:V295" si="539">U300-U292-U293-U294</f>
        <v>0</v>
      </c>
      <c r="V295" s="9">
        <f t="shared" si="539"/>
        <v>0</v>
      </c>
      <c r="W295" s="9">
        <f>W300-W292-W293-W294</f>
        <v>760000</v>
      </c>
      <c r="X295" s="9">
        <f t="shared" si="538"/>
        <v>589000</v>
      </c>
      <c r="Y295" s="9">
        <f t="shared" si="538"/>
        <v>0</v>
      </c>
      <c r="Z295" s="9">
        <f t="shared" si="538"/>
        <v>0</v>
      </c>
      <c r="AA295" s="9"/>
      <c r="AB295" s="9"/>
      <c r="AC295" s="9"/>
      <c r="AD295" s="66">
        <f t="shared" si="450"/>
        <v>1349000</v>
      </c>
      <c r="AE295" s="9">
        <f t="shared" ref="AE295:AF295" si="540">AE300-AE292-AE293-AE294</f>
        <v>609910.31000000006</v>
      </c>
      <c r="AF295" s="9">
        <f t="shared" si="540"/>
        <v>609910.31000000006</v>
      </c>
      <c r="AG295" s="9">
        <f t="shared" ref="AG295:AW295" si="541">AG300-AG292-AG293-AG294</f>
        <v>740000</v>
      </c>
      <c r="AH295" s="9">
        <f t="shared" si="541"/>
        <v>0</v>
      </c>
      <c r="AI295" s="9">
        <f t="shared" si="541"/>
        <v>0</v>
      </c>
      <c r="AJ295" s="9">
        <f t="shared" si="541"/>
        <v>0</v>
      </c>
      <c r="AK295" s="9">
        <f t="shared" si="541"/>
        <v>0</v>
      </c>
      <c r="AL295" s="9">
        <f t="shared" si="541"/>
        <v>0</v>
      </c>
      <c r="AM295" s="9">
        <f t="shared" si="541"/>
        <v>0</v>
      </c>
      <c r="AN295" s="9">
        <f t="shared" si="541"/>
        <v>0</v>
      </c>
      <c r="AO295" s="66">
        <f t="shared" si="541"/>
        <v>740000</v>
      </c>
      <c r="AP295" s="66">
        <f t="shared" si="541"/>
        <v>0</v>
      </c>
      <c r="AQ295" s="66">
        <f t="shared" si="541"/>
        <v>740000</v>
      </c>
      <c r="AR295" s="9">
        <f t="shared" si="541"/>
        <v>-912.14</v>
      </c>
      <c r="AS295" s="9">
        <f t="shared" si="541"/>
        <v>0</v>
      </c>
      <c r="AT295" s="9">
        <f t="shared" si="541"/>
        <v>0</v>
      </c>
      <c r="AU295" s="9">
        <f t="shared" si="541"/>
        <v>0</v>
      </c>
      <c r="AV295" s="9">
        <f t="shared" si="541"/>
        <v>0</v>
      </c>
      <c r="AW295" s="9">
        <f t="shared" si="541"/>
        <v>1348998.1700000002</v>
      </c>
      <c r="AX295" s="9" t="s">
        <v>48</v>
      </c>
      <c r="AY295" s="5">
        <v>1348998.17</v>
      </c>
      <c r="AZ295" s="5">
        <f t="shared" si="528"/>
        <v>0</v>
      </c>
    </row>
    <row r="296" spans="1:52" s="5" customFormat="1" ht="30">
      <c r="A296" s="149"/>
      <c r="B296" s="133"/>
      <c r="C296" s="150"/>
      <c r="D296" s="7" t="s">
        <v>21</v>
      </c>
      <c r="E296" s="7"/>
      <c r="F296" s="7" t="s">
        <v>47</v>
      </c>
      <c r="G296" s="8" t="s">
        <v>132</v>
      </c>
      <c r="H296" s="9">
        <f t="shared" ref="H296:M296" si="542">SUM(H292:H295)</f>
        <v>0</v>
      </c>
      <c r="I296" s="9">
        <f t="shared" si="542"/>
        <v>100000</v>
      </c>
      <c r="J296" s="9">
        <f t="shared" si="542"/>
        <v>0</v>
      </c>
      <c r="K296" s="9">
        <f t="shared" si="542"/>
        <v>0</v>
      </c>
      <c r="L296" s="9">
        <f t="shared" si="542"/>
        <v>0</v>
      </c>
      <c r="M296" s="9">
        <f t="shared" si="542"/>
        <v>100000</v>
      </c>
      <c r="N296" s="9">
        <f t="shared" ref="N296:T296" si="543">SUM(N292:N295)</f>
        <v>0</v>
      </c>
      <c r="O296" s="9">
        <f t="shared" si="543"/>
        <v>0</v>
      </c>
      <c r="P296" s="9">
        <f t="shared" si="543"/>
        <v>1349000</v>
      </c>
      <c r="Q296" s="9">
        <f t="shared" si="543"/>
        <v>0</v>
      </c>
      <c r="R296" s="9">
        <f t="shared" si="543"/>
        <v>0</v>
      </c>
      <c r="S296" s="9">
        <f t="shared" si="543"/>
        <v>0</v>
      </c>
      <c r="T296" s="9">
        <f t="shared" si="543"/>
        <v>1349000</v>
      </c>
      <c r="U296" s="9">
        <f t="shared" ref="U296:V296" si="544">SUM(U292:U295)</f>
        <v>0</v>
      </c>
      <c r="V296" s="9">
        <f t="shared" si="544"/>
        <v>0</v>
      </c>
      <c r="W296" s="9">
        <f>W300</f>
        <v>760000</v>
      </c>
      <c r="X296" s="9">
        <f t="shared" ref="X296:AF296" si="545">X300</f>
        <v>589000</v>
      </c>
      <c r="Y296" s="9">
        <f t="shared" si="545"/>
        <v>0</v>
      </c>
      <c r="Z296" s="9">
        <f t="shared" si="545"/>
        <v>0</v>
      </c>
      <c r="AA296" s="9"/>
      <c r="AB296" s="9"/>
      <c r="AC296" s="9"/>
      <c r="AD296" s="66">
        <f t="shared" si="545"/>
        <v>1349000</v>
      </c>
      <c r="AE296" s="9">
        <f t="shared" si="545"/>
        <v>609910.31000000006</v>
      </c>
      <c r="AF296" s="9">
        <f t="shared" si="545"/>
        <v>609910.31000000006</v>
      </c>
      <c r="AG296" s="9">
        <f t="shared" ref="AG296:AW296" si="546">AG300</f>
        <v>740000</v>
      </c>
      <c r="AH296" s="9">
        <f t="shared" si="546"/>
        <v>0</v>
      </c>
      <c r="AI296" s="9">
        <f t="shared" si="546"/>
        <v>0</v>
      </c>
      <c r="AJ296" s="9">
        <f t="shared" si="546"/>
        <v>0</v>
      </c>
      <c r="AK296" s="9">
        <f t="shared" si="546"/>
        <v>0</v>
      </c>
      <c r="AL296" s="9">
        <f t="shared" si="546"/>
        <v>0</v>
      </c>
      <c r="AM296" s="9">
        <f t="shared" si="546"/>
        <v>0</v>
      </c>
      <c r="AN296" s="9">
        <f t="shared" si="546"/>
        <v>0</v>
      </c>
      <c r="AO296" s="66">
        <f t="shared" si="546"/>
        <v>740000</v>
      </c>
      <c r="AP296" s="66">
        <f t="shared" si="546"/>
        <v>0</v>
      </c>
      <c r="AQ296" s="66">
        <f t="shared" si="546"/>
        <v>740000</v>
      </c>
      <c r="AR296" s="9">
        <f t="shared" si="546"/>
        <v>-912.14</v>
      </c>
      <c r="AS296" s="9">
        <f t="shared" si="546"/>
        <v>0</v>
      </c>
      <c r="AT296" s="9">
        <f t="shared" si="546"/>
        <v>0</v>
      </c>
      <c r="AU296" s="9">
        <f t="shared" si="546"/>
        <v>0</v>
      </c>
      <c r="AV296" s="9">
        <f t="shared" si="546"/>
        <v>0</v>
      </c>
      <c r="AW296" s="9">
        <f t="shared" si="546"/>
        <v>1348998.1700000002</v>
      </c>
      <c r="AX296" s="9" t="s">
        <v>48</v>
      </c>
      <c r="AY296" s="5">
        <v>1348998.17</v>
      </c>
      <c r="AZ296" s="5">
        <f t="shared" si="528"/>
        <v>0</v>
      </c>
    </row>
    <row r="297" spans="1:52" s="4" customFormat="1" ht="30">
      <c r="A297" s="149"/>
      <c r="B297" s="133"/>
      <c r="C297" s="150"/>
      <c r="D297" s="25" t="s">
        <v>22</v>
      </c>
      <c r="E297" s="25">
        <v>6001</v>
      </c>
      <c r="F297" s="37" t="s">
        <v>44</v>
      </c>
      <c r="G297" s="37" t="s">
        <v>132</v>
      </c>
      <c r="H297" s="26"/>
      <c r="I297" s="26"/>
      <c r="J297" s="26"/>
      <c r="K297" s="26"/>
      <c r="L297" s="26"/>
      <c r="M297" s="26">
        <f t="shared" ref="M297:M299" si="547">SUM(I297:L297)</f>
        <v>0</v>
      </c>
      <c r="N297" s="26"/>
      <c r="O297" s="26">
        <f t="shared" ref="O297:O299" si="548">H297+N297</f>
        <v>0</v>
      </c>
      <c r="P297" s="26"/>
      <c r="Q297" s="26"/>
      <c r="R297" s="26"/>
      <c r="S297" s="26"/>
      <c r="T297" s="26">
        <f t="shared" ref="T297:T299" si="549">SUM(P297:S297)</f>
        <v>0</v>
      </c>
      <c r="U297" s="26">
        <v>0</v>
      </c>
      <c r="V297" s="26">
        <f t="shared" ref="V297:V303" si="550">O297+U297</f>
        <v>0</v>
      </c>
      <c r="W297" s="26"/>
      <c r="X297" s="26"/>
      <c r="Y297" s="26"/>
      <c r="Z297" s="26"/>
      <c r="AA297" s="26"/>
      <c r="AB297" s="26"/>
      <c r="AC297" s="26"/>
      <c r="AD297" s="67">
        <f t="shared" si="450"/>
        <v>0</v>
      </c>
      <c r="AE297" s="26"/>
      <c r="AF297" s="26">
        <f t="shared" ref="AF297:AF303" si="551">V297+AE297</f>
        <v>0</v>
      </c>
      <c r="AG297" s="26"/>
      <c r="AH297" s="26"/>
      <c r="AI297" s="26"/>
      <c r="AJ297" s="26"/>
      <c r="AK297" s="26"/>
      <c r="AL297" s="26"/>
      <c r="AM297" s="26"/>
      <c r="AN297" s="26"/>
      <c r="AO297" s="67">
        <f t="shared" si="472"/>
        <v>0</v>
      </c>
      <c r="AP297" s="67">
        <f t="shared" si="473"/>
        <v>0</v>
      </c>
      <c r="AQ297" s="67">
        <f t="shared" si="474"/>
        <v>0</v>
      </c>
      <c r="AR297" s="26"/>
      <c r="AS297" s="26"/>
      <c r="AT297" s="26"/>
      <c r="AU297" s="26"/>
      <c r="AV297" s="26"/>
      <c r="AW297" s="26">
        <f t="shared" si="475"/>
        <v>0</v>
      </c>
      <c r="AX297" s="26" t="s">
        <v>48</v>
      </c>
      <c r="AY297" s="4">
        <v>0</v>
      </c>
      <c r="AZ297" s="4">
        <f t="shared" si="528"/>
        <v>0</v>
      </c>
    </row>
    <row r="298" spans="1:52" s="4" customFormat="1" ht="45">
      <c r="A298" s="149"/>
      <c r="B298" s="133"/>
      <c r="C298" s="150"/>
      <c r="D298" s="25" t="s">
        <v>22</v>
      </c>
      <c r="E298" s="25"/>
      <c r="F298" s="37" t="s">
        <v>91</v>
      </c>
      <c r="G298" s="37" t="s">
        <v>132</v>
      </c>
      <c r="H298" s="26"/>
      <c r="I298" s="26">
        <v>100000</v>
      </c>
      <c r="J298" s="26"/>
      <c r="K298" s="26"/>
      <c r="L298" s="26"/>
      <c r="M298" s="26">
        <f t="shared" si="547"/>
        <v>100000</v>
      </c>
      <c r="N298" s="26"/>
      <c r="O298" s="26">
        <f t="shared" si="548"/>
        <v>0</v>
      </c>
      <c r="P298" s="26">
        <f>1348998.17+1.8300000000745</f>
        <v>1349000</v>
      </c>
      <c r="Q298" s="26"/>
      <c r="R298" s="26"/>
      <c r="S298" s="26"/>
      <c r="T298" s="26">
        <f t="shared" si="549"/>
        <v>1349000</v>
      </c>
      <c r="U298" s="26">
        <v>0</v>
      </c>
      <c r="V298" s="26">
        <f t="shared" si="550"/>
        <v>0</v>
      </c>
      <c r="W298" s="26">
        <v>760000</v>
      </c>
      <c r="X298" s="26">
        <v>589000</v>
      </c>
      <c r="Y298" s="26"/>
      <c r="Z298" s="26"/>
      <c r="AA298" s="26"/>
      <c r="AB298" s="26"/>
      <c r="AC298" s="26"/>
      <c r="AD298" s="67">
        <f t="shared" si="450"/>
        <v>1349000</v>
      </c>
      <c r="AE298" s="26">
        <f>609910.31</f>
        <v>609910.31000000006</v>
      </c>
      <c r="AF298" s="26">
        <f t="shared" si="551"/>
        <v>609910.31000000006</v>
      </c>
      <c r="AG298" s="26">
        <f>739087.86+912.14</f>
        <v>740000</v>
      </c>
      <c r="AH298" s="26"/>
      <c r="AI298" s="26"/>
      <c r="AJ298" s="26"/>
      <c r="AK298" s="26"/>
      <c r="AL298" s="26"/>
      <c r="AM298" s="26"/>
      <c r="AN298" s="26"/>
      <c r="AO298" s="67">
        <f t="shared" si="472"/>
        <v>740000</v>
      </c>
      <c r="AP298" s="67">
        <f t="shared" si="473"/>
        <v>0</v>
      </c>
      <c r="AQ298" s="67">
        <f t="shared" si="474"/>
        <v>740000</v>
      </c>
      <c r="AR298" s="26">
        <v>-912.14</v>
      </c>
      <c r="AS298" s="26"/>
      <c r="AT298" s="26"/>
      <c r="AU298" s="26"/>
      <c r="AV298" s="26"/>
      <c r="AW298" s="26">
        <f t="shared" si="475"/>
        <v>1348998.1700000002</v>
      </c>
      <c r="AX298" s="26" t="s">
        <v>48</v>
      </c>
      <c r="AY298" s="4">
        <v>1348998.17</v>
      </c>
      <c r="AZ298" s="4">
        <f t="shared" si="528"/>
        <v>0</v>
      </c>
    </row>
    <row r="299" spans="1:52" s="4" customFormat="1" ht="30">
      <c r="A299" s="149"/>
      <c r="B299" s="133"/>
      <c r="C299" s="150"/>
      <c r="D299" s="25" t="s">
        <v>22</v>
      </c>
      <c r="E299" s="25">
        <v>6003</v>
      </c>
      <c r="F299" s="37" t="s">
        <v>46</v>
      </c>
      <c r="G299" s="37" t="s">
        <v>132</v>
      </c>
      <c r="H299" s="26"/>
      <c r="I299" s="26"/>
      <c r="J299" s="26"/>
      <c r="K299" s="26"/>
      <c r="L299" s="26"/>
      <c r="M299" s="26">
        <f t="shared" si="547"/>
        <v>0</v>
      </c>
      <c r="N299" s="26"/>
      <c r="O299" s="26">
        <f t="shared" si="548"/>
        <v>0</v>
      </c>
      <c r="P299" s="26"/>
      <c r="Q299" s="26"/>
      <c r="R299" s="26"/>
      <c r="S299" s="26"/>
      <c r="T299" s="26">
        <f t="shared" si="549"/>
        <v>0</v>
      </c>
      <c r="U299" s="26">
        <v>0</v>
      </c>
      <c r="V299" s="26">
        <f t="shared" si="550"/>
        <v>0</v>
      </c>
      <c r="W299" s="26"/>
      <c r="X299" s="26"/>
      <c r="Y299" s="26"/>
      <c r="Z299" s="26"/>
      <c r="AA299" s="26"/>
      <c r="AB299" s="26"/>
      <c r="AC299" s="26"/>
      <c r="AD299" s="67">
        <f t="shared" si="450"/>
        <v>0</v>
      </c>
      <c r="AE299" s="26"/>
      <c r="AF299" s="26">
        <f t="shared" si="551"/>
        <v>0</v>
      </c>
      <c r="AG299" s="26"/>
      <c r="AH299" s="26"/>
      <c r="AI299" s="26"/>
      <c r="AJ299" s="26"/>
      <c r="AK299" s="26"/>
      <c r="AL299" s="26"/>
      <c r="AM299" s="26"/>
      <c r="AN299" s="26"/>
      <c r="AO299" s="67">
        <f t="shared" si="472"/>
        <v>0</v>
      </c>
      <c r="AP299" s="67">
        <f t="shared" si="473"/>
        <v>0</v>
      </c>
      <c r="AQ299" s="67">
        <f t="shared" si="474"/>
        <v>0</v>
      </c>
      <c r="AR299" s="26"/>
      <c r="AS299" s="26"/>
      <c r="AT299" s="26"/>
      <c r="AU299" s="26"/>
      <c r="AV299" s="26"/>
      <c r="AW299" s="26">
        <f t="shared" si="475"/>
        <v>0</v>
      </c>
      <c r="AX299" s="26" t="s">
        <v>48</v>
      </c>
      <c r="AY299" s="4">
        <v>0</v>
      </c>
      <c r="AZ299" s="4">
        <f t="shared" si="528"/>
        <v>0</v>
      </c>
    </row>
    <row r="300" spans="1:52" s="4" customFormat="1" ht="30">
      <c r="A300" s="149"/>
      <c r="B300" s="133"/>
      <c r="C300" s="150"/>
      <c r="D300" s="25" t="s">
        <v>22</v>
      </c>
      <c r="E300" s="25"/>
      <c r="F300" s="25" t="s">
        <v>29</v>
      </c>
      <c r="G300" s="37" t="s">
        <v>132</v>
      </c>
      <c r="H300" s="26">
        <f>SUM(H297:H299)</f>
        <v>0</v>
      </c>
      <c r="I300" s="26">
        <f t="shared" ref="I300:U300" si="552">SUM(I297:I299)</f>
        <v>100000</v>
      </c>
      <c r="J300" s="26">
        <f t="shared" si="552"/>
        <v>0</v>
      </c>
      <c r="K300" s="26">
        <f t="shared" si="552"/>
        <v>0</v>
      </c>
      <c r="L300" s="26">
        <f t="shared" si="552"/>
        <v>0</v>
      </c>
      <c r="M300" s="26">
        <f t="shared" si="552"/>
        <v>100000</v>
      </c>
      <c r="N300" s="26">
        <f t="shared" si="552"/>
        <v>0</v>
      </c>
      <c r="O300" s="26">
        <f t="shared" si="552"/>
        <v>0</v>
      </c>
      <c r="P300" s="26">
        <f t="shared" si="552"/>
        <v>1349000</v>
      </c>
      <c r="Q300" s="26">
        <f t="shared" si="552"/>
        <v>0</v>
      </c>
      <c r="R300" s="26">
        <f t="shared" si="552"/>
        <v>0</v>
      </c>
      <c r="S300" s="26">
        <f t="shared" si="552"/>
        <v>0</v>
      </c>
      <c r="T300" s="26">
        <f t="shared" si="552"/>
        <v>1349000</v>
      </c>
      <c r="U300" s="26">
        <f t="shared" si="552"/>
        <v>0</v>
      </c>
      <c r="V300" s="26">
        <f>SUM(V297:V299)</f>
        <v>0</v>
      </c>
      <c r="W300" s="26">
        <f t="shared" ref="W300:AW300" si="553">SUM(W297:W299)</f>
        <v>760000</v>
      </c>
      <c r="X300" s="26">
        <f t="shared" si="553"/>
        <v>589000</v>
      </c>
      <c r="Y300" s="26">
        <f t="shared" si="553"/>
        <v>0</v>
      </c>
      <c r="Z300" s="26">
        <f t="shared" si="553"/>
        <v>0</v>
      </c>
      <c r="AA300" s="26"/>
      <c r="AB300" s="26"/>
      <c r="AC300" s="26"/>
      <c r="AD300" s="67">
        <f t="shared" si="553"/>
        <v>1349000</v>
      </c>
      <c r="AE300" s="26">
        <f t="shared" si="553"/>
        <v>609910.31000000006</v>
      </c>
      <c r="AF300" s="26">
        <f t="shared" si="553"/>
        <v>609910.31000000006</v>
      </c>
      <c r="AG300" s="26">
        <f t="shared" si="553"/>
        <v>740000</v>
      </c>
      <c r="AH300" s="26">
        <f t="shared" si="553"/>
        <v>0</v>
      </c>
      <c r="AI300" s="26">
        <f t="shared" si="553"/>
        <v>0</v>
      </c>
      <c r="AJ300" s="26">
        <f t="shared" si="553"/>
        <v>0</v>
      </c>
      <c r="AK300" s="26">
        <f t="shared" si="553"/>
        <v>0</v>
      </c>
      <c r="AL300" s="26">
        <f t="shared" si="553"/>
        <v>0</v>
      </c>
      <c r="AM300" s="26">
        <f t="shared" si="553"/>
        <v>0</v>
      </c>
      <c r="AN300" s="26">
        <f t="shared" si="553"/>
        <v>0</v>
      </c>
      <c r="AO300" s="67">
        <f t="shared" si="553"/>
        <v>740000</v>
      </c>
      <c r="AP300" s="67">
        <f t="shared" si="553"/>
        <v>0</v>
      </c>
      <c r="AQ300" s="67">
        <f t="shared" si="553"/>
        <v>740000</v>
      </c>
      <c r="AR300" s="26">
        <f t="shared" si="553"/>
        <v>-912.14</v>
      </c>
      <c r="AS300" s="26">
        <f t="shared" si="553"/>
        <v>0</v>
      </c>
      <c r="AT300" s="26">
        <f t="shared" si="553"/>
        <v>0</v>
      </c>
      <c r="AU300" s="26">
        <f t="shared" si="553"/>
        <v>0</v>
      </c>
      <c r="AV300" s="26">
        <f t="shared" si="553"/>
        <v>0</v>
      </c>
      <c r="AW300" s="26">
        <f t="shared" si="553"/>
        <v>1348998.1700000002</v>
      </c>
      <c r="AX300" s="26" t="s">
        <v>48</v>
      </c>
      <c r="AY300" s="4">
        <v>1348998.17</v>
      </c>
      <c r="AZ300" s="4">
        <f t="shared" si="528"/>
        <v>0</v>
      </c>
    </row>
    <row r="301" spans="1:52" s="5" customFormat="1" ht="30">
      <c r="A301" s="149" t="s">
        <v>265</v>
      </c>
      <c r="B301" s="133" t="s">
        <v>26</v>
      </c>
      <c r="C301" s="150">
        <v>66</v>
      </c>
      <c r="D301" s="7" t="s">
        <v>21</v>
      </c>
      <c r="E301" s="7">
        <v>42028801</v>
      </c>
      <c r="F301" s="8" t="s">
        <v>44</v>
      </c>
      <c r="G301" s="8" t="s">
        <v>122</v>
      </c>
      <c r="H301" s="9"/>
      <c r="I301" s="9"/>
      <c r="J301" s="9"/>
      <c r="K301" s="9"/>
      <c r="L301" s="9"/>
      <c r="M301" s="9">
        <f t="shared" ref="M301:M302" si="554">SUM(I301:L301)</f>
        <v>0</v>
      </c>
      <c r="N301" s="9"/>
      <c r="O301" s="9">
        <f>H301+N301</f>
        <v>0</v>
      </c>
      <c r="P301" s="9"/>
      <c r="Q301" s="9"/>
      <c r="R301" s="9"/>
      <c r="S301" s="9"/>
      <c r="T301" s="9">
        <f>SUM(P301:S301)</f>
        <v>0</v>
      </c>
      <c r="U301" s="9"/>
      <c r="V301" s="9">
        <f t="shared" si="550"/>
        <v>0</v>
      </c>
      <c r="W301" s="9"/>
      <c r="X301" s="9"/>
      <c r="Y301" s="9"/>
      <c r="Z301" s="9"/>
      <c r="AA301" s="9"/>
      <c r="AB301" s="9"/>
      <c r="AC301" s="9"/>
      <c r="AD301" s="66">
        <f t="shared" si="450"/>
        <v>0</v>
      </c>
      <c r="AE301" s="9"/>
      <c r="AF301" s="9">
        <f t="shared" si="551"/>
        <v>0</v>
      </c>
      <c r="AG301" s="9"/>
      <c r="AH301" s="9"/>
      <c r="AI301" s="9"/>
      <c r="AJ301" s="9"/>
      <c r="AK301" s="9"/>
      <c r="AL301" s="9"/>
      <c r="AM301" s="9"/>
      <c r="AN301" s="9"/>
      <c r="AO301" s="66">
        <f t="shared" si="472"/>
        <v>0</v>
      </c>
      <c r="AP301" s="66">
        <f t="shared" si="473"/>
        <v>0</v>
      </c>
      <c r="AQ301" s="66">
        <f t="shared" si="474"/>
        <v>0</v>
      </c>
      <c r="AR301" s="9"/>
      <c r="AS301" s="9"/>
      <c r="AT301" s="9"/>
      <c r="AU301" s="9"/>
      <c r="AV301" s="9"/>
      <c r="AW301" s="9">
        <f t="shared" si="475"/>
        <v>0</v>
      </c>
      <c r="AX301" s="9" t="s">
        <v>48</v>
      </c>
      <c r="AZ301" s="5">
        <f t="shared" si="528"/>
        <v>0</v>
      </c>
    </row>
    <row r="302" spans="1:52" s="5" customFormat="1" ht="30">
      <c r="A302" s="149"/>
      <c r="B302" s="133"/>
      <c r="C302" s="150"/>
      <c r="D302" s="7" t="s">
        <v>21</v>
      </c>
      <c r="E302" s="7">
        <v>42028802</v>
      </c>
      <c r="F302" s="8" t="s">
        <v>45</v>
      </c>
      <c r="G302" s="8" t="s">
        <v>122</v>
      </c>
      <c r="H302" s="9"/>
      <c r="I302" s="9"/>
      <c r="J302" s="9"/>
      <c r="K302" s="9"/>
      <c r="L302" s="9"/>
      <c r="M302" s="9">
        <f t="shared" si="554"/>
        <v>0</v>
      </c>
      <c r="N302" s="9"/>
      <c r="O302" s="9">
        <f t="shared" ref="O302:O303" si="555">H302+N302</f>
        <v>0</v>
      </c>
      <c r="P302" s="9"/>
      <c r="Q302" s="9"/>
      <c r="R302" s="9"/>
      <c r="S302" s="9"/>
      <c r="T302" s="9">
        <f t="shared" ref="T302:T303" si="556">SUM(P302:S302)</f>
        <v>0</v>
      </c>
      <c r="U302" s="9"/>
      <c r="V302" s="9">
        <f t="shared" si="550"/>
        <v>0</v>
      </c>
      <c r="W302" s="9"/>
      <c r="X302" s="9"/>
      <c r="Y302" s="9"/>
      <c r="Z302" s="9"/>
      <c r="AA302" s="9"/>
      <c r="AB302" s="9"/>
      <c r="AC302" s="9"/>
      <c r="AD302" s="66">
        <f t="shared" si="450"/>
        <v>0</v>
      </c>
      <c r="AE302" s="9"/>
      <c r="AF302" s="9">
        <f t="shared" si="551"/>
        <v>0</v>
      </c>
      <c r="AG302" s="9"/>
      <c r="AH302" s="9"/>
      <c r="AI302" s="9"/>
      <c r="AJ302" s="9"/>
      <c r="AK302" s="9"/>
      <c r="AL302" s="9"/>
      <c r="AM302" s="9"/>
      <c r="AN302" s="9"/>
      <c r="AO302" s="66">
        <f t="shared" si="472"/>
        <v>0</v>
      </c>
      <c r="AP302" s="66">
        <f t="shared" si="473"/>
        <v>0</v>
      </c>
      <c r="AQ302" s="66">
        <f t="shared" si="474"/>
        <v>0</v>
      </c>
      <c r="AR302" s="9"/>
      <c r="AS302" s="9"/>
      <c r="AT302" s="9"/>
      <c r="AU302" s="9"/>
      <c r="AV302" s="9"/>
      <c r="AW302" s="9">
        <f t="shared" si="475"/>
        <v>0</v>
      </c>
      <c r="AX302" s="9" t="s">
        <v>48</v>
      </c>
      <c r="AY302" s="5">
        <v>0</v>
      </c>
      <c r="AZ302" s="5">
        <f t="shared" si="528"/>
        <v>0</v>
      </c>
    </row>
    <row r="303" spans="1:52" s="5" customFormat="1" ht="30">
      <c r="A303" s="149"/>
      <c r="B303" s="133"/>
      <c r="C303" s="150"/>
      <c r="D303" s="7" t="s">
        <v>21</v>
      </c>
      <c r="E303" s="7">
        <v>42028803</v>
      </c>
      <c r="F303" s="8" t="s">
        <v>46</v>
      </c>
      <c r="G303" s="8" t="s">
        <v>122</v>
      </c>
      <c r="H303" s="9"/>
      <c r="I303" s="9"/>
      <c r="J303" s="9"/>
      <c r="K303" s="9"/>
      <c r="L303" s="9"/>
      <c r="M303" s="9"/>
      <c r="N303" s="9"/>
      <c r="O303" s="9">
        <f t="shared" si="555"/>
        <v>0</v>
      </c>
      <c r="P303" s="9"/>
      <c r="Q303" s="9"/>
      <c r="R303" s="9"/>
      <c r="S303" s="9"/>
      <c r="T303" s="9">
        <f t="shared" si="556"/>
        <v>0</v>
      </c>
      <c r="U303" s="9"/>
      <c r="V303" s="9">
        <f t="shared" si="550"/>
        <v>0</v>
      </c>
      <c r="W303" s="9"/>
      <c r="X303" s="9"/>
      <c r="Y303" s="9"/>
      <c r="Z303" s="9"/>
      <c r="AA303" s="9"/>
      <c r="AB303" s="9"/>
      <c r="AC303" s="9"/>
      <c r="AD303" s="66">
        <f t="shared" si="450"/>
        <v>0</v>
      </c>
      <c r="AE303" s="9"/>
      <c r="AF303" s="9">
        <f t="shared" si="551"/>
        <v>0</v>
      </c>
      <c r="AG303" s="9"/>
      <c r="AH303" s="9"/>
      <c r="AI303" s="9"/>
      <c r="AJ303" s="9"/>
      <c r="AK303" s="9"/>
      <c r="AL303" s="9"/>
      <c r="AM303" s="9"/>
      <c r="AN303" s="9"/>
      <c r="AO303" s="66">
        <f t="shared" si="472"/>
        <v>0</v>
      </c>
      <c r="AP303" s="66">
        <f t="shared" si="473"/>
        <v>0</v>
      </c>
      <c r="AQ303" s="66">
        <f t="shared" si="474"/>
        <v>0</v>
      </c>
      <c r="AR303" s="9"/>
      <c r="AS303" s="9"/>
      <c r="AT303" s="9"/>
      <c r="AU303" s="9"/>
      <c r="AV303" s="9"/>
      <c r="AW303" s="9">
        <f t="shared" si="475"/>
        <v>0</v>
      </c>
      <c r="AX303" s="9" t="s">
        <v>48</v>
      </c>
      <c r="AZ303" s="5">
        <f t="shared" si="528"/>
        <v>0</v>
      </c>
    </row>
    <row r="304" spans="1:52" s="5" customFormat="1" ht="30">
      <c r="A304" s="149"/>
      <c r="B304" s="133"/>
      <c r="C304" s="150"/>
      <c r="D304" s="7" t="s">
        <v>21</v>
      </c>
      <c r="E304" s="7"/>
      <c r="F304" s="7" t="s">
        <v>19</v>
      </c>
      <c r="G304" s="8" t="s">
        <v>122</v>
      </c>
      <c r="H304" s="9"/>
      <c r="I304" s="9"/>
      <c r="J304" s="9"/>
      <c r="K304" s="9"/>
      <c r="L304" s="9"/>
      <c r="M304" s="9"/>
      <c r="N304" s="9"/>
      <c r="O304" s="9">
        <f t="shared" ref="O304:T304" si="557">O309-O301-O302-O303</f>
        <v>0</v>
      </c>
      <c r="P304" s="9">
        <f t="shared" si="557"/>
        <v>103000</v>
      </c>
      <c r="Q304" s="9">
        <f t="shared" si="557"/>
        <v>0</v>
      </c>
      <c r="R304" s="9">
        <f t="shared" si="557"/>
        <v>0</v>
      </c>
      <c r="S304" s="9">
        <f t="shared" si="557"/>
        <v>0</v>
      </c>
      <c r="T304" s="9">
        <f t="shared" si="557"/>
        <v>103000</v>
      </c>
      <c r="U304" s="9">
        <f t="shared" ref="U304" si="558">U309-U301-U302-U303</f>
        <v>0</v>
      </c>
      <c r="V304" s="9">
        <f>V309-V301-V302-V303</f>
        <v>0</v>
      </c>
      <c r="W304" s="9">
        <f t="shared" ref="W304:AD304" si="559">W309-W301-W302-W303</f>
        <v>104000</v>
      </c>
      <c r="X304" s="9">
        <f t="shared" si="559"/>
        <v>23000</v>
      </c>
      <c r="Y304" s="9">
        <f t="shared" si="559"/>
        <v>0</v>
      </c>
      <c r="Z304" s="9">
        <f t="shared" si="559"/>
        <v>0</v>
      </c>
      <c r="AA304" s="9"/>
      <c r="AB304" s="9"/>
      <c r="AC304" s="9"/>
      <c r="AD304" s="66">
        <f t="shared" si="559"/>
        <v>127000</v>
      </c>
      <c r="AE304" s="9">
        <f t="shared" ref="AE304:AF304" si="560">AE309-AE301-AE302-AE303</f>
        <v>49777.01</v>
      </c>
      <c r="AF304" s="9">
        <f t="shared" si="560"/>
        <v>49777.01</v>
      </c>
      <c r="AG304" s="9">
        <f t="shared" ref="AG304:AW304" si="561">AG309-AG301-AG302-AG303</f>
        <v>54000</v>
      </c>
      <c r="AH304" s="9">
        <f t="shared" si="561"/>
        <v>0</v>
      </c>
      <c r="AI304" s="9">
        <f t="shared" si="561"/>
        <v>0</v>
      </c>
      <c r="AJ304" s="9">
        <f t="shared" si="561"/>
        <v>0</v>
      </c>
      <c r="AK304" s="9">
        <f t="shared" si="561"/>
        <v>0</v>
      </c>
      <c r="AL304" s="9">
        <f t="shared" si="561"/>
        <v>0</v>
      </c>
      <c r="AM304" s="9">
        <f t="shared" si="561"/>
        <v>0</v>
      </c>
      <c r="AN304" s="9">
        <f t="shared" si="561"/>
        <v>0</v>
      </c>
      <c r="AO304" s="66">
        <f t="shared" si="561"/>
        <v>54000</v>
      </c>
      <c r="AP304" s="66">
        <f t="shared" si="561"/>
        <v>0</v>
      </c>
      <c r="AQ304" s="66">
        <f t="shared" si="561"/>
        <v>54000</v>
      </c>
      <c r="AR304" s="9">
        <f t="shared" si="561"/>
        <v>-972.43</v>
      </c>
      <c r="AS304" s="9">
        <f t="shared" si="561"/>
        <v>0</v>
      </c>
      <c r="AT304" s="9">
        <f t="shared" si="561"/>
        <v>0</v>
      </c>
      <c r="AU304" s="9">
        <f t="shared" si="561"/>
        <v>0</v>
      </c>
      <c r="AV304" s="9">
        <f t="shared" si="561"/>
        <v>0</v>
      </c>
      <c r="AW304" s="9">
        <f t="shared" si="561"/>
        <v>102804.58000000002</v>
      </c>
      <c r="AX304" s="9" t="s">
        <v>48</v>
      </c>
      <c r="AY304" s="5">
        <v>102804.58</v>
      </c>
      <c r="AZ304" s="5">
        <f t="shared" si="528"/>
        <v>0</v>
      </c>
    </row>
    <row r="305" spans="1:52" s="5" customFormat="1" ht="30">
      <c r="A305" s="149"/>
      <c r="B305" s="133"/>
      <c r="C305" s="150"/>
      <c r="D305" s="7" t="s">
        <v>21</v>
      </c>
      <c r="E305" s="7"/>
      <c r="F305" s="7" t="s">
        <v>47</v>
      </c>
      <c r="G305" s="8" t="s">
        <v>122</v>
      </c>
      <c r="H305" s="9">
        <f t="shared" ref="H305:M305" si="562">SUM(H301:H304)</f>
        <v>0</v>
      </c>
      <c r="I305" s="9">
        <f t="shared" si="562"/>
        <v>0</v>
      </c>
      <c r="J305" s="9">
        <f t="shared" si="562"/>
        <v>0</v>
      </c>
      <c r="K305" s="9">
        <f t="shared" si="562"/>
        <v>0</v>
      </c>
      <c r="L305" s="9">
        <f t="shared" si="562"/>
        <v>0</v>
      </c>
      <c r="M305" s="9">
        <f t="shared" si="562"/>
        <v>0</v>
      </c>
      <c r="N305" s="9">
        <f t="shared" ref="N305:T305" si="563">SUM(N301:N304)</f>
        <v>0</v>
      </c>
      <c r="O305" s="9">
        <f t="shared" si="563"/>
        <v>0</v>
      </c>
      <c r="P305" s="9">
        <f t="shared" si="563"/>
        <v>103000</v>
      </c>
      <c r="Q305" s="9">
        <f t="shared" si="563"/>
        <v>0</v>
      </c>
      <c r="R305" s="9">
        <f t="shared" si="563"/>
        <v>0</v>
      </c>
      <c r="S305" s="9">
        <f t="shared" si="563"/>
        <v>0</v>
      </c>
      <c r="T305" s="9">
        <f t="shared" si="563"/>
        <v>103000</v>
      </c>
      <c r="U305" s="9">
        <f t="shared" ref="U305:V305" si="564">SUM(U301:U304)</f>
        <v>0</v>
      </c>
      <c r="V305" s="9">
        <f t="shared" si="564"/>
        <v>0</v>
      </c>
      <c r="W305" s="9">
        <f t="shared" ref="W305:AD305" si="565">SUM(W301:W304)</f>
        <v>104000</v>
      </c>
      <c r="X305" s="9">
        <f t="shared" si="565"/>
        <v>23000</v>
      </c>
      <c r="Y305" s="9">
        <f t="shared" si="565"/>
        <v>0</v>
      </c>
      <c r="Z305" s="9">
        <f t="shared" si="565"/>
        <v>0</v>
      </c>
      <c r="AA305" s="9"/>
      <c r="AB305" s="9"/>
      <c r="AC305" s="9"/>
      <c r="AD305" s="66">
        <f t="shared" si="565"/>
        <v>127000</v>
      </c>
      <c r="AE305" s="9">
        <f t="shared" ref="AE305:AF305" si="566">SUM(AE301:AE304)</f>
        <v>49777.01</v>
      </c>
      <c r="AF305" s="9">
        <f t="shared" si="566"/>
        <v>49777.01</v>
      </c>
      <c r="AG305" s="9">
        <f t="shared" ref="AG305:AW305" si="567">SUM(AG301:AG304)</f>
        <v>54000</v>
      </c>
      <c r="AH305" s="9">
        <f t="shared" si="567"/>
        <v>0</v>
      </c>
      <c r="AI305" s="9">
        <f t="shared" si="567"/>
        <v>0</v>
      </c>
      <c r="AJ305" s="9">
        <f t="shared" si="567"/>
        <v>0</v>
      </c>
      <c r="AK305" s="9">
        <f t="shared" si="567"/>
        <v>0</v>
      </c>
      <c r="AL305" s="9">
        <f t="shared" si="567"/>
        <v>0</v>
      </c>
      <c r="AM305" s="9">
        <f t="shared" si="567"/>
        <v>0</v>
      </c>
      <c r="AN305" s="9">
        <f t="shared" si="567"/>
        <v>0</v>
      </c>
      <c r="AO305" s="66">
        <f t="shared" si="567"/>
        <v>54000</v>
      </c>
      <c r="AP305" s="66">
        <f t="shared" si="567"/>
        <v>0</v>
      </c>
      <c r="AQ305" s="66">
        <f t="shared" si="567"/>
        <v>54000</v>
      </c>
      <c r="AR305" s="9">
        <f t="shared" si="567"/>
        <v>-972.43</v>
      </c>
      <c r="AS305" s="9">
        <f t="shared" si="567"/>
        <v>0</v>
      </c>
      <c r="AT305" s="9">
        <f t="shared" si="567"/>
        <v>0</v>
      </c>
      <c r="AU305" s="9">
        <f t="shared" si="567"/>
        <v>0</v>
      </c>
      <c r="AV305" s="9">
        <f t="shared" si="567"/>
        <v>0</v>
      </c>
      <c r="AW305" s="9">
        <f t="shared" si="567"/>
        <v>102804.58000000002</v>
      </c>
      <c r="AX305" s="9" t="s">
        <v>48</v>
      </c>
      <c r="AZ305" s="5">
        <f t="shared" si="528"/>
        <v>102804.58000000002</v>
      </c>
    </row>
    <row r="306" spans="1:52" s="4" customFormat="1" ht="30">
      <c r="A306" s="149"/>
      <c r="B306" s="133"/>
      <c r="C306" s="150"/>
      <c r="D306" s="25" t="s">
        <v>22</v>
      </c>
      <c r="E306" s="25">
        <v>6001</v>
      </c>
      <c r="F306" s="37" t="s">
        <v>44</v>
      </c>
      <c r="G306" s="37" t="s">
        <v>122</v>
      </c>
      <c r="H306" s="26"/>
      <c r="I306" s="26"/>
      <c r="J306" s="26"/>
      <c r="K306" s="26"/>
      <c r="L306" s="26"/>
      <c r="M306" s="26">
        <f t="shared" ref="M306:M308" si="568">SUM(I306:L306)</f>
        <v>0</v>
      </c>
      <c r="N306" s="26"/>
      <c r="O306" s="26">
        <f t="shared" ref="O306:O308" si="569">H306+N306</f>
        <v>0</v>
      </c>
      <c r="P306" s="26"/>
      <c r="Q306" s="26"/>
      <c r="R306" s="26"/>
      <c r="S306" s="26"/>
      <c r="T306" s="26">
        <f t="shared" ref="T306:T308" si="570">SUM(P306:S306)</f>
        <v>0</v>
      </c>
      <c r="U306" s="26">
        <v>0</v>
      </c>
      <c r="V306" s="26">
        <f t="shared" ref="V306:V312" si="571">O306+U306</f>
        <v>0</v>
      </c>
      <c r="W306" s="26"/>
      <c r="X306" s="26"/>
      <c r="Y306" s="26"/>
      <c r="Z306" s="26"/>
      <c r="AA306" s="26"/>
      <c r="AB306" s="26"/>
      <c r="AC306" s="26"/>
      <c r="AD306" s="67">
        <f t="shared" si="450"/>
        <v>0</v>
      </c>
      <c r="AE306" s="26"/>
      <c r="AF306" s="26">
        <f t="shared" ref="AF306:AF315" si="572">V306+AE306</f>
        <v>0</v>
      </c>
      <c r="AG306" s="26"/>
      <c r="AH306" s="26"/>
      <c r="AI306" s="26"/>
      <c r="AJ306" s="26"/>
      <c r="AK306" s="26"/>
      <c r="AL306" s="26"/>
      <c r="AM306" s="26"/>
      <c r="AN306" s="26"/>
      <c r="AO306" s="67">
        <f t="shared" si="472"/>
        <v>0</v>
      </c>
      <c r="AP306" s="67">
        <f t="shared" si="473"/>
        <v>0</v>
      </c>
      <c r="AQ306" s="67">
        <f t="shared" si="474"/>
        <v>0</v>
      </c>
      <c r="AR306" s="26"/>
      <c r="AS306" s="26"/>
      <c r="AT306" s="26"/>
      <c r="AU306" s="26"/>
      <c r="AV306" s="26"/>
      <c r="AW306" s="26">
        <f t="shared" si="475"/>
        <v>0</v>
      </c>
      <c r="AX306" s="26" t="s">
        <v>48</v>
      </c>
      <c r="AZ306" s="4">
        <f t="shared" si="528"/>
        <v>0</v>
      </c>
    </row>
    <row r="307" spans="1:52" s="4" customFormat="1" ht="45">
      <c r="A307" s="149"/>
      <c r="B307" s="133"/>
      <c r="C307" s="150"/>
      <c r="D307" s="25" t="s">
        <v>22</v>
      </c>
      <c r="E307" s="25"/>
      <c r="F307" s="37" t="s">
        <v>91</v>
      </c>
      <c r="G307" s="37" t="s">
        <v>122</v>
      </c>
      <c r="H307" s="26"/>
      <c r="I307" s="26">
        <v>100000</v>
      </c>
      <c r="J307" s="26"/>
      <c r="K307" s="26"/>
      <c r="L307" s="26"/>
      <c r="M307" s="26">
        <f t="shared" si="568"/>
        <v>100000</v>
      </c>
      <c r="N307" s="26"/>
      <c r="O307" s="26">
        <f t="shared" si="569"/>
        <v>0</v>
      </c>
      <c r="P307" s="26">
        <v>103000</v>
      </c>
      <c r="Q307" s="26"/>
      <c r="R307" s="26"/>
      <c r="S307" s="26"/>
      <c r="T307" s="26">
        <f t="shared" si="570"/>
        <v>103000</v>
      </c>
      <c r="U307" s="26">
        <v>0</v>
      </c>
      <c r="V307" s="26">
        <f t="shared" si="571"/>
        <v>0</v>
      </c>
      <c r="W307" s="26">
        <f>80000+24000</f>
        <v>104000</v>
      </c>
      <c r="X307" s="26">
        <v>23000</v>
      </c>
      <c r="Y307" s="26"/>
      <c r="Z307" s="26"/>
      <c r="AA307" s="26"/>
      <c r="AB307" s="26"/>
      <c r="AC307" s="26"/>
      <c r="AD307" s="67">
        <f t="shared" si="450"/>
        <v>127000</v>
      </c>
      <c r="AE307" s="26">
        <v>49777.01</v>
      </c>
      <c r="AF307" s="26">
        <f t="shared" si="572"/>
        <v>49777.01</v>
      </c>
      <c r="AG307" s="26">
        <f>53027.57+972.43</f>
        <v>54000</v>
      </c>
      <c r="AH307" s="26"/>
      <c r="AI307" s="26"/>
      <c r="AJ307" s="26"/>
      <c r="AK307" s="26"/>
      <c r="AL307" s="26"/>
      <c r="AM307" s="26"/>
      <c r="AN307" s="26"/>
      <c r="AO307" s="67">
        <f t="shared" si="472"/>
        <v>54000</v>
      </c>
      <c r="AP307" s="67">
        <f t="shared" si="473"/>
        <v>0</v>
      </c>
      <c r="AQ307" s="67">
        <f t="shared" si="474"/>
        <v>54000</v>
      </c>
      <c r="AR307" s="26">
        <v>-972.43</v>
      </c>
      <c r="AS307" s="26"/>
      <c r="AT307" s="26"/>
      <c r="AU307" s="26"/>
      <c r="AV307" s="26"/>
      <c r="AW307" s="26">
        <f t="shared" si="475"/>
        <v>102804.58000000002</v>
      </c>
      <c r="AX307" s="26" t="s">
        <v>48</v>
      </c>
      <c r="AY307" s="4">
        <v>102804.58</v>
      </c>
      <c r="AZ307" s="4">
        <f t="shared" si="528"/>
        <v>0</v>
      </c>
    </row>
    <row r="308" spans="1:52" s="4" customFormat="1" ht="30">
      <c r="A308" s="149"/>
      <c r="B308" s="133"/>
      <c r="C308" s="150"/>
      <c r="D308" s="25" t="s">
        <v>22</v>
      </c>
      <c r="E308" s="25">
        <v>6003</v>
      </c>
      <c r="F308" s="37" t="s">
        <v>46</v>
      </c>
      <c r="G308" s="37" t="s">
        <v>122</v>
      </c>
      <c r="H308" s="26"/>
      <c r="I308" s="26"/>
      <c r="J308" s="26"/>
      <c r="K308" s="26"/>
      <c r="L308" s="26"/>
      <c r="M308" s="26">
        <f t="shared" si="568"/>
        <v>0</v>
      </c>
      <c r="N308" s="26"/>
      <c r="O308" s="26">
        <f t="shared" si="569"/>
        <v>0</v>
      </c>
      <c r="P308" s="26"/>
      <c r="Q308" s="26"/>
      <c r="R308" s="26"/>
      <c r="S308" s="26"/>
      <c r="T308" s="26">
        <f t="shared" si="570"/>
        <v>0</v>
      </c>
      <c r="U308" s="26">
        <v>0</v>
      </c>
      <c r="V308" s="26">
        <f t="shared" si="571"/>
        <v>0</v>
      </c>
      <c r="W308" s="26"/>
      <c r="X308" s="26"/>
      <c r="Y308" s="26"/>
      <c r="Z308" s="26"/>
      <c r="AA308" s="26"/>
      <c r="AB308" s="26"/>
      <c r="AC308" s="26"/>
      <c r="AD308" s="67">
        <f t="shared" si="450"/>
        <v>0</v>
      </c>
      <c r="AE308" s="26"/>
      <c r="AF308" s="26">
        <f t="shared" si="572"/>
        <v>0</v>
      </c>
      <c r="AG308" s="26"/>
      <c r="AH308" s="26"/>
      <c r="AI308" s="26"/>
      <c r="AJ308" s="26"/>
      <c r="AK308" s="26"/>
      <c r="AL308" s="26"/>
      <c r="AM308" s="26"/>
      <c r="AN308" s="26"/>
      <c r="AO308" s="67">
        <f t="shared" si="472"/>
        <v>0</v>
      </c>
      <c r="AP308" s="67">
        <f t="shared" si="473"/>
        <v>0</v>
      </c>
      <c r="AQ308" s="67">
        <f t="shared" si="474"/>
        <v>0</v>
      </c>
      <c r="AR308" s="26"/>
      <c r="AS308" s="26"/>
      <c r="AT308" s="26"/>
      <c r="AU308" s="26"/>
      <c r="AV308" s="26"/>
      <c r="AW308" s="26">
        <f t="shared" si="475"/>
        <v>0</v>
      </c>
      <c r="AX308" s="26" t="s">
        <v>48</v>
      </c>
      <c r="AZ308" s="4">
        <f t="shared" si="528"/>
        <v>0</v>
      </c>
    </row>
    <row r="309" spans="1:52" s="4" customFormat="1" ht="30">
      <c r="A309" s="149"/>
      <c r="B309" s="133"/>
      <c r="C309" s="150"/>
      <c r="D309" s="25" t="s">
        <v>22</v>
      </c>
      <c r="E309" s="25"/>
      <c r="F309" s="25" t="s">
        <v>29</v>
      </c>
      <c r="G309" s="37" t="s">
        <v>122</v>
      </c>
      <c r="H309" s="26">
        <f>SUM(H306:H308)</f>
        <v>0</v>
      </c>
      <c r="I309" s="26">
        <f t="shared" ref="I309:AW309" si="573">SUM(I306:I308)</f>
        <v>100000</v>
      </c>
      <c r="J309" s="26">
        <f t="shared" si="573"/>
        <v>0</v>
      </c>
      <c r="K309" s="26">
        <f t="shared" si="573"/>
        <v>0</v>
      </c>
      <c r="L309" s="26">
        <f t="shared" si="573"/>
        <v>0</v>
      </c>
      <c r="M309" s="26">
        <f t="shared" si="573"/>
        <v>100000</v>
      </c>
      <c r="N309" s="26">
        <f t="shared" si="573"/>
        <v>0</v>
      </c>
      <c r="O309" s="26">
        <f t="shared" si="573"/>
        <v>0</v>
      </c>
      <c r="P309" s="26">
        <f t="shared" si="573"/>
        <v>103000</v>
      </c>
      <c r="Q309" s="26">
        <f t="shared" si="573"/>
        <v>0</v>
      </c>
      <c r="R309" s="26">
        <f t="shared" si="573"/>
        <v>0</v>
      </c>
      <c r="S309" s="26">
        <f t="shared" si="573"/>
        <v>0</v>
      </c>
      <c r="T309" s="26">
        <f t="shared" si="573"/>
        <v>103000</v>
      </c>
      <c r="U309" s="26">
        <f t="shared" si="573"/>
        <v>0</v>
      </c>
      <c r="V309" s="26">
        <f t="shared" si="573"/>
        <v>0</v>
      </c>
      <c r="W309" s="26">
        <f t="shared" si="573"/>
        <v>104000</v>
      </c>
      <c r="X309" s="26">
        <f t="shared" si="573"/>
        <v>23000</v>
      </c>
      <c r="Y309" s="26">
        <f t="shared" si="573"/>
        <v>0</v>
      </c>
      <c r="Z309" s="26">
        <f t="shared" si="573"/>
        <v>0</v>
      </c>
      <c r="AA309" s="26"/>
      <c r="AB309" s="26"/>
      <c r="AC309" s="26"/>
      <c r="AD309" s="67">
        <f t="shared" si="573"/>
        <v>127000</v>
      </c>
      <c r="AE309" s="26">
        <f t="shared" si="573"/>
        <v>49777.01</v>
      </c>
      <c r="AF309" s="26">
        <f t="shared" si="573"/>
        <v>49777.01</v>
      </c>
      <c r="AG309" s="26">
        <f t="shared" si="573"/>
        <v>54000</v>
      </c>
      <c r="AH309" s="26">
        <f t="shared" si="573"/>
        <v>0</v>
      </c>
      <c r="AI309" s="26">
        <f t="shared" si="573"/>
        <v>0</v>
      </c>
      <c r="AJ309" s="26">
        <f t="shared" si="573"/>
        <v>0</v>
      </c>
      <c r="AK309" s="26">
        <f t="shared" si="573"/>
        <v>0</v>
      </c>
      <c r="AL309" s="26">
        <f t="shared" si="573"/>
        <v>0</v>
      </c>
      <c r="AM309" s="26">
        <f t="shared" si="573"/>
        <v>0</v>
      </c>
      <c r="AN309" s="26">
        <f t="shared" si="573"/>
        <v>0</v>
      </c>
      <c r="AO309" s="67">
        <f t="shared" si="573"/>
        <v>54000</v>
      </c>
      <c r="AP309" s="67">
        <f t="shared" si="573"/>
        <v>0</v>
      </c>
      <c r="AQ309" s="67">
        <f t="shared" si="573"/>
        <v>54000</v>
      </c>
      <c r="AR309" s="26">
        <f t="shared" si="573"/>
        <v>-972.43</v>
      </c>
      <c r="AS309" s="26">
        <f t="shared" si="573"/>
        <v>0</v>
      </c>
      <c r="AT309" s="26">
        <f t="shared" si="573"/>
        <v>0</v>
      </c>
      <c r="AU309" s="26">
        <f t="shared" si="573"/>
        <v>0</v>
      </c>
      <c r="AV309" s="26">
        <f t="shared" si="573"/>
        <v>0</v>
      </c>
      <c r="AW309" s="26">
        <f t="shared" si="573"/>
        <v>102804.58000000002</v>
      </c>
      <c r="AX309" s="26" t="s">
        <v>48</v>
      </c>
      <c r="AZ309" s="4">
        <f t="shared" si="528"/>
        <v>102804.58000000002</v>
      </c>
    </row>
    <row r="310" spans="1:52" s="5" customFormat="1" ht="45">
      <c r="A310" s="149" t="s">
        <v>266</v>
      </c>
      <c r="B310" s="133" t="s">
        <v>23</v>
      </c>
      <c r="C310" s="150">
        <v>67</v>
      </c>
      <c r="D310" s="7" t="s">
        <v>21</v>
      </c>
      <c r="E310" s="7">
        <v>42028901</v>
      </c>
      <c r="F310" s="8" t="s">
        <v>86</v>
      </c>
      <c r="G310" s="8" t="s">
        <v>137</v>
      </c>
      <c r="H310" s="9"/>
      <c r="I310" s="9">
        <v>840000</v>
      </c>
      <c r="J310" s="9"/>
      <c r="K310" s="9"/>
      <c r="L310" s="9"/>
      <c r="M310" s="9">
        <f t="shared" ref="M310:M312" si="574">SUM(I310:L310)</f>
        <v>840000</v>
      </c>
      <c r="N310" s="9"/>
      <c r="O310" s="9">
        <f>H310+N310</f>
        <v>0</v>
      </c>
      <c r="P310" s="9">
        <v>225000.00000000038</v>
      </c>
      <c r="Q310" s="9">
        <v>845000</v>
      </c>
      <c r="R310" s="9">
        <v>1268000</v>
      </c>
      <c r="S310" s="9">
        <v>1691000</v>
      </c>
      <c r="T310" s="9">
        <f>SUM(P310:S310)</f>
        <v>4029000.0000000005</v>
      </c>
      <c r="U310" s="9">
        <f>12811.95+202330</f>
        <v>215141.95</v>
      </c>
      <c r="V310" s="9">
        <f t="shared" si="571"/>
        <v>215141.95</v>
      </c>
      <c r="W310" s="9"/>
      <c r="X310" s="9"/>
      <c r="Y310" s="9"/>
      <c r="Z310" s="9"/>
      <c r="AA310" s="9"/>
      <c r="AB310" s="9"/>
      <c r="AC310" s="9"/>
      <c r="AD310" s="66">
        <f t="shared" si="450"/>
        <v>0</v>
      </c>
      <c r="AE310" s="9"/>
      <c r="AF310" s="9">
        <f t="shared" si="572"/>
        <v>215141.95</v>
      </c>
      <c r="AG310" s="9"/>
      <c r="AH310" s="9"/>
      <c r="AI310" s="9"/>
      <c r="AJ310" s="9"/>
      <c r="AK310" s="9"/>
      <c r="AL310" s="9"/>
      <c r="AM310" s="9"/>
      <c r="AN310" s="9"/>
      <c r="AO310" s="66">
        <f t="shared" si="472"/>
        <v>0</v>
      </c>
      <c r="AP310" s="66">
        <f t="shared" si="473"/>
        <v>0</v>
      </c>
      <c r="AQ310" s="66">
        <f t="shared" si="474"/>
        <v>0</v>
      </c>
      <c r="AR310" s="9"/>
      <c r="AS310" s="9"/>
      <c r="AT310" s="9"/>
      <c r="AU310" s="9"/>
      <c r="AV310" s="9"/>
      <c r="AW310" s="9">
        <f t="shared" si="475"/>
        <v>215141.95</v>
      </c>
      <c r="AX310" s="44" t="s">
        <v>79</v>
      </c>
      <c r="AY310" s="5">
        <v>6438630.54</v>
      </c>
      <c r="AZ310" s="11">
        <f>AW310+AW313-AY310</f>
        <v>-319422.99000000022</v>
      </c>
    </row>
    <row r="311" spans="1:52" s="5" customFormat="1" ht="45">
      <c r="A311" s="149"/>
      <c r="B311" s="133"/>
      <c r="C311" s="150"/>
      <c r="D311" s="7" t="s">
        <v>21</v>
      </c>
      <c r="E311" s="7">
        <v>42028902</v>
      </c>
      <c r="F311" s="8" t="s">
        <v>45</v>
      </c>
      <c r="G311" s="8" t="s">
        <v>137</v>
      </c>
      <c r="H311" s="9"/>
      <c r="I311" s="9"/>
      <c r="J311" s="9"/>
      <c r="K311" s="9"/>
      <c r="L311" s="9"/>
      <c r="M311" s="9">
        <f t="shared" si="574"/>
        <v>0</v>
      </c>
      <c r="N311" s="9"/>
      <c r="O311" s="9">
        <f t="shared" ref="O311:O312" si="575">H311+N311</f>
        <v>0</v>
      </c>
      <c r="P311" s="9"/>
      <c r="Q311" s="9"/>
      <c r="R311" s="9"/>
      <c r="S311" s="9"/>
      <c r="T311" s="9">
        <f t="shared" ref="T311:T312" si="576">SUM(P311:S311)</f>
        <v>0</v>
      </c>
      <c r="U311" s="9"/>
      <c r="V311" s="9">
        <f t="shared" si="571"/>
        <v>0</v>
      </c>
      <c r="W311" s="9"/>
      <c r="X311" s="9"/>
      <c r="Y311" s="9"/>
      <c r="Z311" s="9"/>
      <c r="AA311" s="9"/>
      <c r="AB311" s="9"/>
      <c r="AC311" s="9"/>
      <c r="AD311" s="66">
        <f t="shared" si="450"/>
        <v>0</v>
      </c>
      <c r="AE311" s="9"/>
      <c r="AF311" s="9">
        <f t="shared" si="572"/>
        <v>0</v>
      </c>
      <c r="AG311" s="9"/>
      <c r="AH311" s="9"/>
      <c r="AI311" s="9"/>
      <c r="AJ311" s="9"/>
      <c r="AK311" s="9"/>
      <c r="AL311" s="9"/>
      <c r="AM311" s="9"/>
      <c r="AN311" s="9"/>
      <c r="AO311" s="66">
        <f t="shared" si="472"/>
        <v>0</v>
      </c>
      <c r="AP311" s="66">
        <f t="shared" si="473"/>
        <v>0</v>
      </c>
      <c r="AQ311" s="66">
        <f t="shared" si="474"/>
        <v>0</v>
      </c>
      <c r="AR311" s="9"/>
      <c r="AS311" s="9"/>
      <c r="AT311" s="9"/>
      <c r="AU311" s="9"/>
      <c r="AV311" s="9"/>
      <c r="AW311" s="9">
        <f t="shared" si="475"/>
        <v>0</v>
      </c>
      <c r="AX311" s="44" t="s">
        <v>79</v>
      </c>
      <c r="AY311" s="5">
        <v>0</v>
      </c>
      <c r="AZ311" s="11">
        <f>AW311+AW314-AY311</f>
        <v>0</v>
      </c>
    </row>
    <row r="312" spans="1:52" s="5" customFormat="1" ht="45">
      <c r="A312" s="149"/>
      <c r="B312" s="133"/>
      <c r="C312" s="150"/>
      <c r="D312" s="7" t="s">
        <v>21</v>
      </c>
      <c r="E312" s="7">
        <v>42028903</v>
      </c>
      <c r="F312" s="8" t="s">
        <v>46</v>
      </c>
      <c r="G312" s="8" t="s">
        <v>137</v>
      </c>
      <c r="H312" s="9"/>
      <c r="I312" s="9">
        <v>160000</v>
      </c>
      <c r="J312" s="9"/>
      <c r="K312" s="9"/>
      <c r="L312" s="9"/>
      <c r="M312" s="9">
        <f t="shared" si="574"/>
        <v>160000</v>
      </c>
      <c r="N312" s="9"/>
      <c r="O312" s="9">
        <f t="shared" si="575"/>
        <v>0</v>
      </c>
      <c r="P312" s="9">
        <v>43000</v>
      </c>
      <c r="Q312" s="9">
        <v>161000</v>
      </c>
      <c r="R312" s="9">
        <v>241000</v>
      </c>
      <c r="S312" s="9">
        <v>321000</v>
      </c>
      <c r="T312" s="9">
        <f t="shared" si="576"/>
        <v>766000</v>
      </c>
      <c r="U312" s="9">
        <v>38442.699999999997</v>
      </c>
      <c r="V312" s="9">
        <f t="shared" si="571"/>
        <v>38442.699999999997</v>
      </c>
      <c r="W312" s="9"/>
      <c r="X312" s="9"/>
      <c r="Y312" s="9"/>
      <c r="Z312" s="9"/>
      <c r="AA312" s="9"/>
      <c r="AB312" s="9"/>
      <c r="AC312" s="9"/>
      <c r="AD312" s="66">
        <f t="shared" si="450"/>
        <v>0</v>
      </c>
      <c r="AE312" s="9"/>
      <c r="AF312" s="9">
        <f t="shared" si="572"/>
        <v>38442.699999999997</v>
      </c>
      <c r="AG312" s="9"/>
      <c r="AH312" s="9"/>
      <c r="AI312" s="9"/>
      <c r="AJ312" s="9"/>
      <c r="AK312" s="9"/>
      <c r="AL312" s="9"/>
      <c r="AM312" s="9"/>
      <c r="AN312" s="9"/>
      <c r="AO312" s="66">
        <f t="shared" si="472"/>
        <v>0</v>
      </c>
      <c r="AP312" s="66">
        <f t="shared" si="473"/>
        <v>0</v>
      </c>
      <c r="AQ312" s="66">
        <f t="shared" si="474"/>
        <v>0</v>
      </c>
      <c r="AR312" s="9"/>
      <c r="AS312" s="9"/>
      <c r="AT312" s="9"/>
      <c r="AU312" s="9"/>
      <c r="AV312" s="9"/>
      <c r="AW312" s="9">
        <f t="shared" si="475"/>
        <v>38442.699999999997</v>
      </c>
      <c r="AX312" s="44" t="s">
        <v>79</v>
      </c>
      <c r="AY312" s="5">
        <v>1214863.44</v>
      </c>
      <c r="AZ312" s="11">
        <f>AW312+AW315-AY312</f>
        <v>-31790.010000000009</v>
      </c>
    </row>
    <row r="313" spans="1:52" s="5" customFormat="1" ht="45">
      <c r="A313" s="149"/>
      <c r="B313" s="133"/>
      <c r="C313" s="150"/>
      <c r="D313" s="7" t="s">
        <v>21</v>
      </c>
      <c r="E313" s="7">
        <v>42028801</v>
      </c>
      <c r="F313" s="8" t="s">
        <v>44</v>
      </c>
      <c r="G313" s="8" t="s">
        <v>137</v>
      </c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>
        <v>1929000</v>
      </c>
      <c r="X313" s="9">
        <v>4288000</v>
      </c>
      <c r="Y313" s="9"/>
      <c r="Z313" s="9"/>
      <c r="AA313" s="9"/>
      <c r="AB313" s="9"/>
      <c r="AC313" s="9"/>
      <c r="AD313" s="66">
        <f t="shared" si="450"/>
        <v>6217000</v>
      </c>
      <c r="AE313" s="9">
        <v>3910873.18</v>
      </c>
      <c r="AF313" s="9">
        <f t="shared" si="572"/>
        <v>3910873.18</v>
      </c>
      <c r="AG313" s="9">
        <f>1993192.42+807.58</f>
        <v>1994000</v>
      </c>
      <c r="AH313" s="9"/>
      <c r="AI313" s="9"/>
      <c r="AJ313" s="9"/>
      <c r="AK313" s="9"/>
      <c r="AL313" s="9"/>
      <c r="AM313" s="9"/>
      <c r="AN313" s="9"/>
      <c r="AO313" s="66">
        <f t="shared" si="472"/>
        <v>1994000</v>
      </c>
      <c r="AP313" s="66">
        <f t="shared" si="473"/>
        <v>0</v>
      </c>
      <c r="AQ313" s="66">
        <f t="shared" si="474"/>
        <v>1994000</v>
      </c>
      <c r="AR313" s="9">
        <v>-807.58</v>
      </c>
      <c r="AS313" s="9"/>
      <c r="AT313" s="9"/>
      <c r="AU313" s="9"/>
      <c r="AV313" s="9"/>
      <c r="AW313" s="9">
        <f t="shared" si="475"/>
        <v>5904065.5999999996</v>
      </c>
      <c r="AX313" s="44" t="s">
        <v>48</v>
      </c>
    </row>
    <row r="314" spans="1:52" s="5" customFormat="1" ht="45">
      <c r="A314" s="149"/>
      <c r="B314" s="133"/>
      <c r="C314" s="150"/>
      <c r="D314" s="7" t="s">
        <v>21</v>
      </c>
      <c r="E314" s="7">
        <v>42028802</v>
      </c>
      <c r="F314" s="8" t="s">
        <v>45</v>
      </c>
      <c r="G314" s="8" t="s">
        <v>137</v>
      </c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66">
        <f t="shared" si="450"/>
        <v>0</v>
      </c>
      <c r="AE314" s="9"/>
      <c r="AF314" s="9">
        <f t="shared" si="572"/>
        <v>0</v>
      </c>
      <c r="AG314" s="9"/>
      <c r="AH314" s="9"/>
      <c r="AI314" s="9"/>
      <c r="AJ314" s="9"/>
      <c r="AK314" s="9"/>
      <c r="AL314" s="9"/>
      <c r="AM314" s="9"/>
      <c r="AN314" s="9"/>
      <c r="AO314" s="66">
        <f t="shared" si="472"/>
        <v>0</v>
      </c>
      <c r="AP314" s="66">
        <f t="shared" si="473"/>
        <v>0</v>
      </c>
      <c r="AQ314" s="66">
        <f t="shared" si="474"/>
        <v>0</v>
      </c>
      <c r="AR314" s="9"/>
      <c r="AS314" s="9"/>
      <c r="AT314" s="9"/>
      <c r="AU314" s="9"/>
      <c r="AV314" s="9"/>
      <c r="AW314" s="9">
        <f t="shared" si="475"/>
        <v>0</v>
      </c>
      <c r="AX314" s="44" t="s">
        <v>48</v>
      </c>
    </row>
    <row r="315" spans="1:52" s="5" customFormat="1" ht="45">
      <c r="A315" s="149"/>
      <c r="B315" s="133"/>
      <c r="C315" s="150"/>
      <c r="D315" s="7" t="s">
        <v>21</v>
      </c>
      <c r="E315" s="7">
        <v>42028803</v>
      </c>
      <c r="F315" s="8" t="s">
        <v>46</v>
      </c>
      <c r="G315" s="8" t="s">
        <v>137</v>
      </c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>
        <v>367000</v>
      </c>
      <c r="X315" s="9">
        <v>809000</v>
      </c>
      <c r="Y315" s="9"/>
      <c r="Z315" s="9"/>
      <c r="AA315" s="9"/>
      <c r="AB315" s="9"/>
      <c r="AC315" s="9"/>
      <c r="AD315" s="66">
        <f t="shared" si="450"/>
        <v>1176000</v>
      </c>
      <c r="AE315" s="9">
        <v>756551.02</v>
      </c>
      <c r="AF315" s="9">
        <f t="shared" si="572"/>
        <v>756551.02</v>
      </c>
      <c r="AG315" s="9">
        <f>388079.71+920.29</f>
        <v>389000</v>
      </c>
      <c r="AH315" s="9"/>
      <c r="AI315" s="9"/>
      <c r="AJ315" s="9"/>
      <c r="AK315" s="9"/>
      <c r="AL315" s="9"/>
      <c r="AM315" s="9"/>
      <c r="AN315" s="9"/>
      <c r="AO315" s="66">
        <f t="shared" si="472"/>
        <v>389000</v>
      </c>
      <c r="AP315" s="66">
        <f t="shared" si="473"/>
        <v>0</v>
      </c>
      <c r="AQ315" s="66">
        <f t="shared" si="474"/>
        <v>389000</v>
      </c>
      <c r="AR315" s="9">
        <v>-920.29</v>
      </c>
      <c r="AS315" s="9"/>
      <c r="AT315" s="9"/>
      <c r="AU315" s="9"/>
      <c r="AV315" s="9"/>
      <c r="AW315" s="9">
        <f t="shared" si="475"/>
        <v>1144630.73</v>
      </c>
      <c r="AX315" s="44" t="s">
        <v>48</v>
      </c>
    </row>
    <row r="316" spans="1:52" s="5" customFormat="1" ht="45">
      <c r="A316" s="149"/>
      <c r="B316" s="133"/>
      <c r="C316" s="150"/>
      <c r="D316" s="7" t="s">
        <v>21</v>
      </c>
      <c r="E316" s="7"/>
      <c r="F316" s="7" t="s">
        <v>19</v>
      </c>
      <c r="G316" s="8" t="s">
        <v>137</v>
      </c>
      <c r="H316" s="9">
        <f>H324-H310-H311-H312</f>
        <v>0</v>
      </c>
      <c r="I316" s="9">
        <f t="shared" ref="I316:N316" si="577">I324-I310-I311-I312</f>
        <v>0</v>
      </c>
      <c r="J316" s="9">
        <f t="shared" si="577"/>
        <v>0</v>
      </c>
      <c r="K316" s="9">
        <f t="shared" si="577"/>
        <v>0</v>
      </c>
      <c r="L316" s="9">
        <f t="shared" si="577"/>
        <v>0</v>
      </c>
      <c r="M316" s="9">
        <f t="shared" si="577"/>
        <v>0</v>
      </c>
      <c r="N316" s="9">
        <f t="shared" si="577"/>
        <v>0</v>
      </c>
      <c r="O316" s="9">
        <f t="shared" ref="O316:T316" si="578">O324-O310-O311-O312</f>
        <v>0</v>
      </c>
      <c r="P316" s="9">
        <f t="shared" si="578"/>
        <v>0</v>
      </c>
      <c r="Q316" s="9">
        <f t="shared" si="578"/>
        <v>18000</v>
      </c>
      <c r="R316" s="9">
        <f t="shared" si="578"/>
        <v>35000</v>
      </c>
      <c r="S316" s="9">
        <f t="shared" si="578"/>
        <v>802000</v>
      </c>
      <c r="T316" s="9">
        <f t="shared" si="578"/>
        <v>854999.99999999953</v>
      </c>
      <c r="U316" s="9">
        <f t="shared" ref="U316" si="579">U324-U310-U311-U312</f>
        <v>13566.000000000015</v>
      </c>
      <c r="V316" s="9">
        <f>V324-V310-V311-V312-V313-V314-V315</f>
        <v>13566.000000000015</v>
      </c>
      <c r="W316" s="9">
        <f t="shared" ref="W316:AD316" si="580">W324-W310-W311-W312-W313-W314-W315</f>
        <v>5000</v>
      </c>
      <c r="X316" s="9">
        <f t="shared" si="580"/>
        <v>1200000</v>
      </c>
      <c r="Y316" s="9">
        <f t="shared" si="580"/>
        <v>0</v>
      </c>
      <c r="Z316" s="9">
        <f t="shared" si="580"/>
        <v>0</v>
      </c>
      <c r="AA316" s="9"/>
      <c r="AB316" s="9"/>
      <c r="AC316" s="9"/>
      <c r="AD316" s="66">
        <f t="shared" si="580"/>
        <v>1205000</v>
      </c>
      <c r="AE316" s="9">
        <f t="shared" ref="AE316:AF316" si="581">AE324-AE310-AE311-AE312-AE313-AE314-AE315</f>
        <v>96029.459999999963</v>
      </c>
      <c r="AF316" s="9">
        <f t="shared" si="581"/>
        <v>109595.45999999996</v>
      </c>
      <c r="AG316" s="9">
        <f t="shared" ref="AG316:AW316" si="582">AG324-AG310-AG311-AG312-AG313-AG314-AG315</f>
        <v>4000</v>
      </c>
      <c r="AH316" s="9">
        <f t="shared" si="582"/>
        <v>0</v>
      </c>
      <c r="AI316" s="9">
        <f t="shared" si="582"/>
        <v>0</v>
      </c>
      <c r="AJ316" s="9">
        <f t="shared" si="582"/>
        <v>0</v>
      </c>
      <c r="AK316" s="9">
        <f t="shared" si="582"/>
        <v>0</v>
      </c>
      <c r="AL316" s="9">
        <f t="shared" si="582"/>
        <v>0</v>
      </c>
      <c r="AM316" s="9">
        <f t="shared" si="582"/>
        <v>0</v>
      </c>
      <c r="AN316" s="9">
        <f t="shared" si="582"/>
        <v>0</v>
      </c>
      <c r="AO316" s="66">
        <f t="shared" si="582"/>
        <v>4000</v>
      </c>
      <c r="AP316" s="66">
        <f t="shared" si="582"/>
        <v>0</v>
      </c>
      <c r="AQ316" s="66">
        <f t="shared" si="582"/>
        <v>4000</v>
      </c>
      <c r="AR316" s="9">
        <f t="shared" si="582"/>
        <v>-129.44000000000005</v>
      </c>
      <c r="AS316" s="9">
        <f t="shared" si="582"/>
        <v>0</v>
      </c>
      <c r="AT316" s="9">
        <f t="shared" si="582"/>
        <v>0</v>
      </c>
      <c r="AU316" s="9">
        <f t="shared" si="582"/>
        <v>127000</v>
      </c>
      <c r="AV316" s="9">
        <f t="shared" si="582"/>
        <v>0</v>
      </c>
      <c r="AW316" s="9">
        <f t="shared" si="582"/>
        <v>240466.02000000002</v>
      </c>
      <c r="AX316" s="44" t="s">
        <v>48</v>
      </c>
      <c r="AY316" s="5">
        <v>1217597.67</v>
      </c>
      <c r="AZ316" s="5">
        <f t="shared" si="528"/>
        <v>-977131.64999999991</v>
      </c>
    </row>
    <row r="317" spans="1:52" s="5" customFormat="1" ht="45">
      <c r="A317" s="149"/>
      <c r="B317" s="133"/>
      <c r="C317" s="150"/>
      <c r="D317" s="7" t="s">
        <v>21</v>
      </c>
      <c r="E317" s="7"/>
      <c r="F317" s="7" t="s">
        <v>47</v>
      </c>
      <c r="G317" s="8" t="s">
        <v>137</v>
      </c>
      <c r="H317" s="9">
        <f t="shared" ref="H317:M317" si="583">SUM(H310:H316)</f>
        <v>0</v>
      </c>
      <c r="I317" s="9">
        <f t="shared" si="583"/>
        <v>1000000</v>
      </c>
      <c r="J317" s="9">
        <f t="shared" si="583"/>
        <v>0</v>
      </c>
      <c r="K317" s="9">
        <f t="shared" si="583"/>
        <v>0</v>
      </c>
      <c r="L317" s="9">
        <f t="shared" si="583"/>
        <v>0</v>
      </c>
      <c r="M317" s="9">
        <f t="shared" si="583"/>
        <v>1000000</v>
      </c>
      <c r="N317" s="9">
        <f t="shared" ref="N317:T317" si="584">SUM(N310:N316)</f>
        <v>0</v>
      </c>
      <c r="O317" s="9">
        <f t="shared" si="584"/>
        <v>0</v>
      </c>
      <c r="P317" s="9">
        <f t="shared" si="584"/>
        <v>268000.00000000035</v>
      </c>
      <c r="Q317" s="9">
        <f t="shared" si="584"/>
        <v>1024000</v>
      </c>
      <c r="R317" s="9">
        <f t="shared" si="584"/>
        <v>1544000</v>
      </c>
      <c r="S317" s="9">
        <f t="shared" si="584"/>
        <v>2814000</v>
      </c>
      <c r="T317" s="9">
        <f t="shared" si="584"/>
        <v>5650000</v>
      </c>
      <c r="U317" s="9">
        <f t="shared" ref="U317:V317" si="585">SUM(U310:U316)</f>
        <v>267150.65000000002</v>
      </c>
      <c r="V317" s="9">
        <f t="shared" si="585"/>
        <v>267150.65000000002</v>
      </c>
      <c r="W317" s="9">
        <f t="shared" ref="W317:AD317" si="586">SUM(W310:W316)</f>
        <v>2301000</v>
      </c>
      <c r="X317" s="9">
        <f t="shared" si="586"/>
        <v>6297000</v>
      </c>
      <c r="Y317" s="9">
        <f t="shared" si="586"/>
        <v>0</v>
      </c>
      <c r="Z317" s="9">
        <f t="shared" si="586"/>
        <v>0</v>
      </c>
      <c r="AA317" s="9"/>
      <c r="AB317" s="9"/>
      <c r="AC317" s="9"/>
      <c r="AD317" s="66">
        <f t="shared" si="586"/>
        <v>8598000</v>
      </c>
      <c r="AE317" s="9">
        <f t="shared" ref="AE317:AF317" si="587">SUM(AE310:AE316)</f>
        <v>4763453.66</v>
      </c>
      <c r="AF317" s="9">
        <f t="shared" si="587"/>
        <v>5030604.3099999996</v>
      </c>
      <c r="AG317" s="9">
        <f t="shared" ref="AG317:AW317" si="588">SUM(AG310:AG316)</f>
        <v>2387000</v>
      </c>
      <c r="AH317" s="9">
        <f t="shared" si="588"/>
        <v>0</v>
      </c>
      <c r="AI317" s="9">
        <f t="shared" si="588"/>
        <v>0</v>
      </c>
      <c r="AJ317" s="9">
        <f t="shared" si="588"/>
        <v>0</v>
      </c>
      <c r="AK317" s="9">
        <f t="shared" si="588"/>
        <v>0</v>
      </c>
      <c r="AL317" s="9">
        <f t="shared" si="588"/>
        <v>0</v>
      </c>
      <c r="AM317" s="9">
        <f t="shared" si="588"/>
        <v>0</v>
      </c>
      <c r="AN317" s="9">
        <f t="shared" si="588"/>
        <v>0</v>
      </c>
      <c r="AO317" s="66">
        <f t="shared" si="588"/>
        <v>2387000</v>
      </c>
      <c r="AP317" s="66">
        <f t="shared" si="588"/>
        <v>0</v>
      </c>
      <c r="AQ317" s="66">
        <f t="shared" si="588"/>
        <v>2387000</v>
      </c>
      <c r="AR317" s="9">
        <f t="shared" si="588"/>
        <v>-1857.31</v>
      </c>
      <c r="AS317" s="9">
        <f t="shared" si="588"/>
        <v>0</v>
      </c>
      <c r="AT317" s="9">
        <f t="shared" si="588"/>
        <v>0</v>
      </c>
      <c r="AU317" s="9">
        <f t="shared" si="588"/>
        <v>127000</v>
      </c>
      <c r="AV317" s="9">
        <f t="shared" si="588"/>
        <v>0</v>
      </c>
      <c r="AW317" s="9">
        <f t="shared" si="588"/>
        <v>7542747</v>
      </c>
      <c r="AX317" s="44" t="s">
        <v>48</v>
      </c>
      <c r="AY317" s="5">
        <v>8871091.6500000004</v>
      </c>
      <c r="AZ317" s="5">
        <f t="shared" si="528"/>
        <v>-1328344.6500000004</v>
      </c>
    </row>
    <row r="318" spans="1:52" s="4" customFormat="1" ht="45">
      <c r="A318" s="149"/>
      <c r="B318" s="133"/>
      <c r="C318" s="150"/>
      <c r="D318" s="25" t="s">
        <v>22</v>
      </c>
      <c r="E318" s="25">
        <v>6101</v>
      </c>
      <c r="F318" s="37" t="s">
        <v>85</v>
      </c>
      <c r="G318" s="37" t="s">
        <v>137</v>
      </c>
      <c r="H318" s="26"/>
      <c r="I318" s="26">
        <v>840000</v>
      </c>
      <c r="J318" s="26"/>
      <c r="K318" s="26"/>
      <c r="L318" s="26"/>
      <c r="M318" s="26">
        <f t="shared" ref="M318:M320" si="589">SUM(I318:L318)</f>
        <v>840000</v>
      </c>
      <c r="N318" s="26"/>
      <c r="O318" s="26">
        <f t="shared" ref="O318:O320" si="590">H318+N318</f>
        <v>0</v>
      </c>
      <c r="P318" s="26">
        <f>224173.697478992+826.302521008387</f>
        <v>225000.00000000038</v>
      </c>
      <c r="Q318" s="26">
        <f>845222.456504202-826.302521008387+603.846016806434</f>
        <v>845000</v>
      </c>
      <c r="R318" s="26">
        <f>1267833.6847563-603.846016806434+770.161260506603</f>
        <v>1268000</v>
      </c>
      <c r="S318" s="26">
        <f>1691393.89768067-770.161260506603+376.26357983658</f>
        <v>1691000</v>
      </c>
      <c r="T318" s="26">
        <f t="shared" ref="T318:T320" si="591">SUM(P318:S318)</f>
        <v>4029000.0000000005</v>
      </c>
      <c r="U318" s="26">
        <v>215141.95</v>
      </c>
      <c r="V318" s="26">
        <f>O318+U318</f>
        <v>215141.95</v>
      </c>
      <c r="W318" s="26"/>
      <c r="X318" s="26"/>
      <c r="Y318" s="26"/>
      <c r="Z318" s="26"/>
      <c r="AA318" s="26"/>
      <c r="AB318" s="26"/>
      <c r="AC318" s="26"/>
      <c r="AD318" s="67">
        <f t="shared" si="450"/>
        <v>0</v>
      </c>
      <c r="AE318" s="26"/>
      <c r="AF318" s="26">
        <f t="shared" ref="AF318:AF331" si="592">V318+AE318</f>
        <v>215141.95</v>
      </c>
      <c r="AG318" s="26"/>
      <c r="AH318" s="26"/>
      <c r="AI318" s="26"/>
      <c r="AJ318" s="26"/>
      <c r="AK318" s="26"/>
      <c r="AL318" s="26"/>
      <c r="AM318" s="26"/>
      <c r="AN318" s="26"/>
      <c r="AO318" s="67">
        <f t="shared" si="472"/>
        <v>0</v>
      </c>
      <c r="AP318" s="67">
        <f t="shared" si="473"/>
        <v>0</v>
      </c>
      <c r="AQ318" s="67">
        <f t="shared" si="474"/>
        <v>0</v>
      </c>
      <c r="AR318" s="26"/>
      <c r="AS318" s="26"/>
      <c r="AT318" s="26"/>
      <c r="AU318" s="26"/>
      <c r="AV318" s="26"/>
      <c r="AW318" s="26">
        <f t="shared" si="475"/>
        <v>215141.95</v>
      </c>
      <c r="AX318" s="57" t="s">
        <v>79</v>
      </c>
      <c r="AY318" s="4">
        <v>6438630.54</v>
      </c>
      <c r="AZ318" s="41">
        <f>AW318+AW321-AY318</f>
        <v>-319422.99000000022</v>
      </c>
    </row>
    <row r="319" spans="1:52" s="4" customFormat="1" ht="45">
      <c r="A319" s="149"/>
      <c r="B319" s="133"/>
      <c r="C319" s="150"/>
      <c r="D319" s="25" t="s">
        <v>22</v>
      </c>
      <c r="E319" s="25">
        <v>6102</v>
      </c>
      <c r="F319" s="37" t="s">
        <v>45</v>
      </c>
      <c r="G319" s="37" t="s">
        <v>137</v>
      </c>
      <c r="H319" s="26"/>
      <c r="I319" s="26"/>
      <c r="J319" s="26"/>
      <c r="K319" s="26"/>
      <c r="L319" s="26"/>
      <c r="M319" s="26">
        <f t="shared" si="589"/>
        <v>0</v>
      </c>
      <c r="N319" s="26"/>
      <c r="O319" s="26">
        <f t="shared" si="590"/>
        <v>0</v>
      </c>
      <c r="P319" s="26"/>
      <c r="Q319" s="26">
        <f>17426.836+573.164000000001</f>
        <v>18000</v>
      </c>
      <c r="R319" s="26">
        <f>35065.26114-573.164000000001+507.902860000002</f>
        <v>35000</v>
      </c>
      <c r="S319" s="26">
        <f>802189.717-507.902860000002+318.185860000085</f>
        <v>802000</v>
      </c>
      <c r="T319" s="26">
        <f t="shared" si="591"/>
        <v>855000</v>
      </c>
      <c r="U319" s="26">
        <v>13566</v>
      </c>
      <c r="V319" s="26">
        <f t="shared" ref="V319" si="593">O319+U319</f>
        <v>13566</v>
      </c>
      <c r="W319" s="26"/>
      <c r="X319" s="26"/>
      <c r="Y319" s="26"/>
      <c r="Z319" s="26"/>
      <c r="AA319" s="26"/>
      <c r="AB319" s="26"/>
      <c r="AC319" s="26"/>
      <c r="AD319" s="67">
        <f t="shared" si="450"/>
        <v>0</v>
      </c>
      <c r="AE319" s="26"/>
      <c r="AF319" s="26">
        <f t="shared" si="592"/>
        <v>13566</v>
      </c>
      <c r="AG319" s="26"/>
      <c r="AH319" s="26"/>
      <c r="AI319" s="26"/>
      <c r="AJ319" s="26"/>
      <c r="AK319" s="26"/>
      <c r="AL319" s="26"/>
      <c r="AM319" s="26"/>
      <c r="AN319" s="26"/>
      <c r="AO319" s="67">
        <f t="shared" si="472"/>
        <v>0</v>
      </c>
      <c r="AP319" s="67">
        <f t="shared" si="473"/>
        <v>0</v>
      </c>
      <c r="AQ319" s="67">
        <f t="shared" si="474"/>
        <v>0</v>
      </c>
      <c r="AR319" s="26"/>
      <c r="AS319" s="26"/>
      <c r="AT319" s="26"/>
      <c r="AU319" s="26"/>
      <c r="AV319" s="26"/>
      <c r="AW319" s="26">
        <f t="shared" si="475"/>
        <v>13566</v>
      </c>
      <c r="AX319" s="57" t="s">
        <v>79</v>
      </c>
      <c r="AY319" s="4">
        <v>1217597.67</v>
      </c>
      <c r="AZ319" s="41">
        <f>AW319+AW322-AY319</f>
        <v>-977131.64999999991</v>
      </c>
    </row>
    <row r="320" spans="1:52" s="4" customFormat="1" ht="45">
      <c r="A320" s="149"/>
      <c r="B320" s="133"/>
      <c r="C320" s="150"/>
      <c r="D320" s="25" t="s">
        <v>22</v>
      </c>
      <c r="E320" s="25">
        <v>6103</v>
      </c>
      <c r="F320" s="37" t="s">
        <v>46</v>
      </c>
      <c r="G320" s="37" t="s">
        <v>137</v>
      </c>
      <c r="H320" s="26"/>
      <c r="I320" s="26">
        <v>160000</v>
      </c>
      <c r="J320" s="26"/>
      <c r="K320" s="26"/>
      <c r="L320" s="26"/>
      <c r="M320" s="26">
        <f t="shared" si="589"/>
        <v>160000</v>
      </c>
      <c r="N320" s="26"/>
      <c r="O320" s="26">
        <f t="shared" si="590"/>
        <v>0</v>
      </c>
      <c r="P320" s="26">
        <f>42593.0025210084+406.997478991601</f>
        <v>43000</v>
      </c>
      <c r="Q320" s="26">
        <f>160592.266735798-406.997478991601+814.730743193591</f>
        <v>161000</v>
      </c>
      <c r="R320" s="26">
        <f>240888.400103697-814.730743193591+926.330639496591</f>
        <v>241000</v>
      </c>
      <c r="S320" s="26">
        <f>321364.840559328-926.330639496591+561.490080168587</f>
        <v>321000</v>
      </c>
      <c r="T320" s="26">
        <f t="shared" si="591"/>
        <v>766000</v>
      </c>
      <c r="U320" s="26">
        <v>38442.699999999997</v>
      </c>
      <c r="V320" s="26">
        <f>O320+U320</f>
        <v>38442.699999999997</v>
      </c>
      <c r="W320" s="26"/>
      <c r="X320" s="26"/>
      <c r="Y320" s="26"/>
      <c r="Z320" s="26"/>
      <c r="AA320" s="26"/>
      <c r="AB320" s="26"/>
      <c r="AC320" s="26"/>
      <c r="AD320" s="67">
        <f t="shared" si="450"/>
        <v>0</v>
      </c>
      <c r="AE320" s="26"/>
      <c r="AF320" s="26">
        <f t="shared" si="592"/>
        <v>38442.699999999997</v>
      </c>
      <c r="AG320" s="26"/>
      <c r="AH320" s="26"/>
      <c r="AI320" s="26"/>
      <c r="AJ320" s="26"/>
      <c r="AK320" s="26"/>
      <c r="AL320" s="26"/>
      <c r="AM320" s="26"/>
      <c r="AN320" s="26"/>
      <c r="AO320" s="67">
        <f t="shared" si="472"/>
        <v>0</v>
      </c>
      <c r="AP320" s="67">
        <f t="shared" si="473"/>
        <v>0</v>
      </c>
      <c r="AQ320" s="67">
        <f t="shared" si="474"/>
        <v>0</v>
      </c>
      <c r="AR320" s="26"/>
      <c r="AS320" s="26"/>
      <c r="AT320" s="26"/>
      <c r="AU320" s="26"/>
      <c r="AV320" s="26"/>
      <c r="AW320" s="26">
        <f t="shared" si="475"/>
        <v>38442.699999999997</v>
      </c>
      <c r="AX320" s="57" t="s">
        <v>79</v>
      </c>
      <c r="AY320" s="4">
        <v>1214863.44</v>
      </c>
      <c r="AZ320" s="41">
        <f>AW320+AW323-AY320</f>
        <v>-31790.010000000009</v>
      </c>
    </row>
    <row r="321" spans="1:54" s="4" customFormat="1" ht="45">
      <c r="A321" s="149"/>
      <c r="B321" s="133"/>
      <c r="C321" s="150"/>
      <c r="D321" s="25" t="s">
        <v>22</v>
      </c>
      <c r="E321" s="25">
        <v>6001</v>
      </c>
      <c r="F321" s="37" t="s">
        <v>44</v>
      </c>
      <c r="G321" s="37" t="s">
        <v>137</v>
      </c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>
        <f>1928565.47+434.530000000027</f>
        <v>1929000</v>
      </c>
      <c r="X321" s="26">
        <f>4288108.12-434.530000000027+326.410000000149</f>
        <v>4288000</v>
      </c>
      <c r="Y321" s="26"/>
      <c r="Z321" s="26"/>
      <c r="AA321" s="26"/>
      <c r="AB321" s="26"/>
      <c r="AC321" s="26"/>
      <c r="AD321" s="67">
        <f t="shared" si="450"/>
        <v>6217000</v>
      </c>
      <c r="AE321" s="26">
        <v>3920191.38</v>
      </c>
      <c r="AF321" s="26">
        <f t="shared" si="592"/>
        <v>3920191.38</v>
      </c>
      <c r="AG321" s="26">
        <f>1983874.22+125.78</f>
        <v>1984000</v>
      </c>
      <c r="AH321" s="26"/>
      <c r="AI321" s="26"/>
      <c r="AJ321" s="26"/>
      <c r="AK321" s="26"/>
      <c r="AL321" s="26"/>
      <c r="AM321" s="26"/>
      <c r="AN321" s="26"/>
      <c r="AO321" s="67">
        <f t="shared" si="472"/>
        <v>1984000</v>
      </c>
      <c r="AP321" s="67">
        <f t="shared" si="473"/>
        <v>0</v>
      </c>
      <c r="AQ321" s="67">
        <f t="shared" si="474"/>
        <v>1984000</v>
      </c>
      <c r="AR321" s="26">
        <v>-125.78</v>
      </c>
      <c r="AS321" s="26"/>
      <c r="AT321" s="26"/>
      <c r="AU321" s="26"/>
      <c r="AV321" s="26"/>
      <c r="AW321" s="26">
        <f t="shared" si="475"/>
        <v>5904065.5999999996</v>
      </c>
      <c r="AX321" s="57" t="s">
        <v>48</v>
      </c>
    </row>
    <row r="322" spans="1:54" s="4" customFormat="1" ht="45">
      <c r="A322" s="149"/>
      <c r="B322" s="133"/>
      <c r="C322" s="150"/>
      <c r="D322" s="25" t="s">
        <v>22</v>
      </c>
      <c r="E322" s="25">
        <v>6002</v>
      </c>
      <c r="F322" s="37" t="s">
        <v>45</v>
      </c>
      <c r="G322" s="37" t="s">
        <v>137</v>
      </c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>
        <f>4998+2</f>
        <v>5000</v>
      </c>
      <c r="X322" s="26">
        <f>1199033.67-2+968.330000000074</f>
        <v>1200000</v>
      </c>
      <c r="Y322" s="26"/>
      <c r="Z322" s="26"/>
      <c r="AA322" s="26"/>
      <c r="AB322" s="26"/>
      <c r="AC322" s="26"/>
      <c r="AD322" s="67">
        <f t="shared" si="450"/>
        <v>1205000</v>
      </c>
      <c r="AE322" s="26">
        <v>86711.26</v>
      </c>
      <c r="AF322" s="26">
        <f t="shared" si="592"/>
        <v>86711.26</v>
      </c>
      <c r="AG322" s="26">
        <f>13188.76+811.24</f>
        <v>14000</v>
      </c>
      <c r="AH322" s="26"/>
      <c r="AI322" s="26"/>
      <c r="AJ322" s="26"/>
      <c r="AK322" s="26"/>
      <c r="AL322" s="26"/>
      <c r="AM322" s="26"/>
      <c r="AN322" s="26"/>
      <c r="AO322" s="67">
        <f t="shared" si="472"/>
        <v>14000</v>
      </c>
      <c r="AP322" s="67">
        <f t="shared" si="473"/>
        <v>0</v>
      </c>
      <c r="AQ322" s="67">
        <f t="shared" si="474"/>
        <v>14000</v>
      </c>
      <c r="AR322" s="26">
        <v>-811.24</v>
      </c>
      <c r="AS322" s="26"/>
      <c r="AT322" s="26"/>
      <c r="AU322" s="26">
        <v>127000</v>
      </c>
      <c r="AV322" s="26"/>
      <c r="AW322" s="26">
        <f t="shared" si="475"/>
        <v>226900.02</v>
      </c>
      <c r="AX322" s="57" t="s">
        <v>48</v>
      </c>
    </row>
    <row r="323" spans="1:54" s="4" customFormat="1" ht="45">
      <c r="A323" s="149"/>
      <c r="B323" s="133"/>
      <c r="C323" s="150"/>
      <c r="D323" s="25" t="s">
        <v>22</v>
      </c>
      <c r="E323" s="25">
        <v>6003</v>
      </c>
      <c r="F323" s="37" t="s">
        <v>46</v>
      </c>
      <c r="G323" s="37" t="s">
        <v>137</v>
      </c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>
        <f>366427.44+572.559999999998</f>
        <v>367000</v>
      </c>
      <c r="X323" s="26">
        <f>808698.45-572.559999999998+874.110000000102</f>
        <v>809000</v>
      </c>
      <c r="Y323" s="26"/>
      <c r="Z323" s="26"/>
      <c r="AA323" s="26"/>
      <c r="AB323" s="26"/>
      <c r="AC323" s="26"/>
      <c r="AD323" s="67">
        <f t="shared" si="450"/>
        <v>1176000</v>
      </c>
      <c r="AE323" s="26">
        <v>756551.02</v>
      </c>
      <c r="AF323" s="26">
        <f t="shared" si="592"/>
        <v>756551.02</v>
      </c>
      <c r="AG323" s="26">
        <f>388079.71+920.29</f>
        <v>389000</v>
      </c>
      <c r="AH323" s="26"/>
      <c r="AI323" s="26"/>
      <c r="AJ323" s="26"/>
      <c r="AK323" s="26"/>
      <c r="AL323" s="26"/>
      <c r="AM323" s="26"/>
      <c r="AN323" s="26"/>
      <c r="AO323" s="67">
        <f t="shared" si="472"/>
        <v>389000</v>
      </c>
      <c r="AP323" s="67">
        <f t="shared" si="473"/>
        <v>0</v>
      </c>
      <c r="AQ323" s="67">
        <f t="shared" si="474"/>
        <v>389000</v>
      </c>
      <c r="AR323" s="26">
        <v>-920.29</v>
      </c>
      <c r="AS323" s="26"/>
      <c r="AT323" s="26"/>
      <c r="AU323" s="26"/>
      <c r="AV323" s="26"/>
      <c r="AW323" s="26">
        <f t="shared" si="475"/>
        <v>1144630.73</v>
      </c>
      <c r="AX323" s="57" t="s">
        <v>48</v>
      </c>
      <c r="BB323" s="41"/>
    </row>
    <row r="324" spans="1:54" s="4" customFormat="1" ht="45">
      <c r="A324" s="149"/>
      <c r="B324" s="133"/>
      <c r="C324" s="150"/>
      <c r="D324" s="25" t="s">
        <v>22</v>
      </c>
      <c r="E324" s="25"/>
      <c r="F324" s="25" t="s">
        <v>29</v>
      </c>
      <c r="G324" s="37" t="s">
        <v>137</v>
      </c>
      <c r="H324" s="26">
        <f>SUM(H318:H320)</f>
        <v>0</v>
      </c>
      <c r="I324" s="26">
        <f t="shared" ref="I324:U324" si="594">SUM(I318:I320)</f>
        <v>1000000</v>
      </c>
      <c r="J324" s="26">
        <f t="shared" si="594"/>
        <v>0</v>
      </c>
      <c r="K324" s="26">
        <f t="shared" si="594"/>
        <v>0</v>
      </c>
      <c r="L324" s="26">
        <f t="shared" si="594"/>
        <v>0</v>
      </c>
      <c r="M324" s="26">
        <f t="shared" si="594"/>
        <v>1000000</v>
      </c>
      <c r="N324" s="26">
        <f t="shared" si="594"/>
        <v>0</v>
      </c>
      <c r="O324" s="26">
        <f t="shared" si="594"/>
        <v>0</v>
      </c>
      <c r="P324" s="26">
        <f t="shared" si="594"/>
        <v>268000.00000000035</v>
      </c>
      <c r="Q324" s="26">
        <f t="shared" si="594"/>
        <v>1024000</v>
      </c>
      <c r="R324" s="26">
        <f t="shared" si="594"/>
        <v>1544000</v>
      </c>
      <c r="S324" s="26">
        <f t="shared" si="594"/>
        <v>2814000</v>
      </c>
      <c r="T324" s="26">
        <f t="shared" si="594"/>
        <v>5650000</v>
      </c>
      <c r="U324" s="26">
        <f t="shared" si="594"/>
        <v>267150.65000000002</v>
      </c>
      <c r="V324" s="26">
        <f>SUM(V318:V323)</f>
        <v>267150.65000000002</v>
      </c>
      <c r="W324" s="26">
        <f t="shared" ref="W324:AW324" si="595">SUM(W318:W323)</f>
        <v>2301000</v>
      </c>
      <c r="X324" s="26">
        <f t="shared" si="595"/>
        <v>6297000</v>
      </c>
      <c r="Y324" s="26">
        <f t="shared" si="595"/>
        <v>0</v>
      </c>
      <c r="Z324" s="26">
        <f t="shared" si="595"/>
        <v>0</v>
      </c>
      <c r="AA324" s="26"/>
      <c r="AB324" s="26"/>
      <c r="AC324" s="26"/>
      <c r="AD324" s="67">
        <f t="shared" si="595"/>
        <v>8598000</v>
      </c>
      <c r="AE324" s="26">
        <f t="shared" si="595"/>
        <v>4763453.66</v>
      </c>
      <c r="AF324" s="26">
        <f t="shared" si="595"/>
        <v>5030604.3100000005</v>
      </c>
      <c r="AG324" s="26">
        <f t="shared" si="595"/>
        <v>2387000</v>
      </c>
      <c r="AH324" s="26">
        <f t="shared" si="595"/>
        <v>0</v>
      </c>
      <c r="AI324" s="26">
        <f t="shared" si="595"/>
        <v>0</v>
      </c>
      <c r="AJ324" s="26">
        <f t="shared" si="595"/>
        <v>0</v>
      </c>
      <c r="AK324" s="26">
        <f t="shared" si="595"/>
        <v>0</v>
      </c>
      <c r="AL324" s="26">
        <f t="shared" si="595"/>
        <v>0</v>
      </c>
      <c r="AM324" s="26">
        <f t="shared" si="595"/>
        <v>0</v>
      </c>
      <c r="AN324" s="26">
        <f t="shared" si="595"/>
        <v>0</v>
      </c>
      <c r="AO324" s="67">
        <f t="shared" si="595"/>
        <v>2387000</v>
      </c>
      <c r="AP324" s="67">
        <f t="shared" si="595"/>
        <v>0</v>
      </c>
      <c r="AQ324" s="67">
        <f t="shared" si="595"/>
        <v>2387000</v>
      </c>
      <c r="AR324" s="26">
        <f t="shared" si="595"/>
        <v>-1857.31</v>
      </c>
      <c r="AS324" s="26">
        <f t="shared" si="595"/>
        <v>0</v>
      </c>
      <c r="AT324" s="26">
        <f t="shared" si="595"/>
        <v>0</v>
      </c>
      <c r="AU324" s="26">
        <f t="shared" si="595"/>
        <v>127000</v>
      </c>
      <c r="AV324" s="26">
        <f t="shared" si="595"/>
        <v>0</v>
      </c>
      <c r="AW324" s="26">
        <f t="shared" si="595"/>
        <v>7542747</v>
      </c>
      <c r="AX324" s="57" t="s">
        <v>48</v>
      </c>
      <c r="AY324" s="4">
        <v>8871091.6500000004</v>
      </c>
      <c r="AZ324" s="4">
        <f t="shared" si="528"/>
        <v>-1328344.6500000004</v>
      </c>
    </row>
    <row r="325" spans="1:54" s="5" customFormat="1" ht="30">
      <c r="A325" s="130" t="s">
        <v>267</v>
      </c>
      <c r="B325" s="111" t="s">
        <v>23</v>
      </c>
      <c r="C325" s="129">
        <v>67</v>
      </c>
      <c r="D325" s="7" t="s">
        <v>21</v>
      </c>
      <c r="E325" s="7">
        <v>42028801</v>
      </c>
      <c r="F325" s="8" t="s">
        <v>44</v>
      </c>
      <c r="G325" s="7">
        <v>43</v>
      </c>
      <c r="H325" s="9"/>
      <c r="I325" s="9"/>
      <c r="J325" s="9"/>
      <c r="K325" s="9">
        <f>561662.6+337.400000000023</f>
        <v>562000</v>
      </c>
      <c r="L325" s="9">
        <f>7963.23-337.400000000023+374.170000000024</f>
        <v>8000</v>
      </c>
      <c r="M325" s="9">
        <f t="shared" si="110"/>
        <v>570000</v>
      </c>
      <c r="N325" s="9"/>
      <c r="O325" s="9">
        <f>H325+N325</f>
        <v>0</v>
      </c>
      <c r="P325" s="9">
        <v>17000</v>
      </c>
      <c r="Q325" s="9"/>
      <c r="R325" s="9"/>
      <c r="S325" s="9"/>
      <c r="T325" s="9">
        <f>SUM(P325:S325)</f>
        <v>17000</v>
      </c>
      <c r="U325" s="9"/>
      <c r="V325" s="9">
        <f t="shared" ref="V325:V330" si="596">O325+U325</f>
        <v>0</v>
      </c>
      <c r="W325" s="9"/>
      <c r="X325" s="9"/>
      <c r="Y325" s="9"/>
      <c r="Z325" s="9"/>
      <c r="AA325" s="9"/>
      <c r="AB325" s="9">
        <f>W325+X325+Y325+Z325</f>
        <v>0</v>
      </c>
      <c r="AC325" s="9">
        <f>AA325</f>
        <v>0</v>
      </c>
      <c r="AD325" s="66">
        <f>AB325+AC325</f>
        <v>0</v>
      </c>
      <c r="AE325" s="9"/>
      <c r="AF325" s="9">
        <f t="shared" si="592"/>
        <v>0</v>
      </c>
      <c r="AG325" s="9"/>
      <c r="AH325" s="9"/>
      <c r="AI325" s="9"/>
      <c r="AJ325" s="9"/>
      <c r="AK325" s="9"/>
      <c r="AL325" s="9"/>
      <c r="AM325" s="9"/>
      <c r="AN325" s="9"/>
      <c r="AO325" s="66">
        <f t="shared" ref="AO325:AO389" si="597">AG325+AI325+AK325+AM325</f>
        <v>0</v>
      </c>
      <c r="AP325" s="66">
        <f t="shared" ref="AP325:AP389" si="598">AH325+AJ325+AL325+AN325</f>
        <v>0</v>
      </c>
      <c r="AQ325" s="66">
        <f t="shared" ref="AQ325:AQ389" si="599">AO325+AP325</f>
        <v>0</v>
      </c>
      <c r="AR325" s="9"/>
      <c r="AS325" s="9"/>
      <c r="AT325" s="9"/>
      <c r="AU325" s="9"/>
      <c r="AV325" s="9"/>
      <c r="AW325" s="9">
        <f t="shared" ref="AW325:AW389" si="600">AF325+AQ325+AR325+AS325+AT325+AU325+AV325</f>
        <v>0</v>
      </c>
      <c r="AX325" s="9" t="s">
        <v>48</v>
      </c>
      <c r="AY325" s="5">
        <v>17000</v>
      </c>
      <c r="AZ325" s="5">
        <f t="shared" si="528"/>
        <v>-17000</v>
      </c>
    </row>
    <row r="326" spans="1:54" s="5" customFormat="1" ht="30">
      <c r="A326" s="109"/>
      <c r="B326" s="112"/>
      <c r="C326" s="114"/>
      <c r="D326" s="7" t="s">
        <v>21</v>
      </c>
      <c r="E326" s="7">
        <v>42028802</v>
      </c>
      <c r="F326" s="8" t="s">
        <v>45</v>
      </c>
      <c r="G326" s="7">
        <v>43</v>
      </c>
      <c r="H326" s="9"/>
      <c r="I326" s="9"/>
      <c r="J326" s="9"/>
      <c r="K326" s="9"/>
      <c r="L326" s="9"/>
      <c r="M326" s="9">
        <f t="shared" si="110"/>
        <v>0</v>
      </c>
      <c r="N326" s="9"/>
      <c r="O326" s="9">
        <f t="shared" ref="O326:O339" si="601">H326+N326</f>
        <v>0</v>
      </c>
      <c r="P326" s="9"/>
      <c r="Q326" s="9"/>
      <c r="R326" s="9"/>
      <c r="S326" s="9"/>
      <c r="T326" s="9">
        <f t="shared" ref="T326:T335" si="602">SUM(P326:S326)</f>
        <v>0</v>
      </c>
      <c r="U326" s="9"/>
      <c r="V326" s="9">
        <f t="shared" si="596"/>
        <v>0</v>
      </c>
      <c r="W326" s="9"/>
      <c r="X326" s="9"/>
      <c r="Y326" s="9"/>
      <c r="Z326" s="9"/>
      <c r="AA326" s="9"/>
      <c r="AB326" s="9">
        <f t="shared" ref="AB326:AB331" si="603">W326+X326+Y326+Z326</f>
        <v>0</v>
      </c>
      <c r="AC326" s="9">
        <f t="shared" ref="AC326:AC331" si="604">AA326</f>
        <v>0</v>
      </c>
      <c r="AD326" s="66">
        <f t="shared" ref="AD326:AD331" si="605">AB326+AC326</f>
        <v>0</v>
      </c>
      <c r="AE326" s="9"/>
      <c r="AF326" s="9">
        <f t="shared" si="592"/>
        <v>0</v>
      </c>
      <c r="AG326" s="9"/>
      <c r="AH326" s="9"/>
      <c r="AI326" s="9"/>
      <c r="AJ326" s="9"/>
      <c r="AK326" s="9"/>
      <c r="AL326" s="9"/>
      <c r="AM326" s="9"/>
      <c r="AN326" s="9"/>
      <c r="AO326" s="66">
        <f t="shared" si="597"/>
        <v>0</v>
      </c>
      <c r="AP326" s="66">
        <f t="shared" si="598"/>
        <v>0</v>
      </c>
      <c r="AQ326" s="66">
        <f t="shared" si="599"/>
        <v>0</v>
      </c>
      <c r="AR326" s="9"/>
      <c r="AS326" s="9"/>
      <c r="AT326" s="9"/>
      <c r="AU326" s="9"/>
      <c r="AV326" s="9"/>
      <c r="AW326" s="9">
        <f t="shared" si="600"/>
        <v>0</v>
      </c>
      <c r="AX326" s="9" t="s">
        <v>48</v>
      </c>
      <c r="AY326" s="5">
        <v>0</v>
      </c>
      <c r="AZ326" s="5">
        <f t="shared" si="528"/>
        <v>0</v>
      </c>
    </row>
    <row r="327" spans="1:54" s="5" customFormat="1">
      <c r="A327" s="109"/>
      <c r="B327" s="112"/>
      <c r="C327" s="114"/>
      <c r="D327" s="7" t="s">
        <v>21</v>
      </c>
      <c r="E327" s="7">
        <v>42028803</v>
      </c>
      <c r="F327" s="8" t="s">
        <v>46</v>
      </c>
      <c r="G327" s="7">
        <v>43</v>
      </c>
      <c r="H327" s="9"/>
      <c r="I327" s="9"/>
      <c r="J327" s="9"/>
      <c r="K327" s="9">
        <f>106715.89+284.110000000001</f>
        <v>107000</v>
      </c>
      <c r="L327" s="9">
        <f>1513.02-284.110000000001+771.090000000001</f>
        <v>2000</v>
      </c>
      <c r="M327" s="9">
        <f t="shared" si="110"/>
        <v>109000</v>
      </c>
      <c r="N327" s="9"/>
      <c r="O327" s="9">
        <f t="shared" si="601"/>
        <v>0</v>
      </c>
      <c r="P327" s="9"/>
      <c r="Q327" s="9"/>
      <c r="R327" s="9"/>
      <c r="S327" s="9"/>
      <c r="T327" s="9">
        <f t="shared" si="602"/>
        <v>0</v>
      </c>
      <c r="U327" s="9"/>
      <c r="V327" s="9">
        <f t="shared" si="596"/>
        <v>0</v>
      </c>
      <c r="W327" s="9"/>
      <c r="X327" s="9"/>
      <c r="Y327" s="9"/>
      <c r="Z327" s="9"/>
      <c r="AA327" s="9"/>
      <c r="AB327" s="9">
        <f t="shared" si="603"/>
        <v>0</v>
      </c>
      <c r="AC327" s="9">
        <f t="shared" si="604"/>
        <v>0</v>
      </c>
      <c r="AD327" s="66">
        <f t="shared" si="605"/>
        <v>0</v>
      </c>
      <c r="AE327" s="9"/>
      <c r="AF327" s="9">
        <f t="shared" si="592"/>
        <v>0</v>
      </c>
      <c r="AG327" s="9"/>
      <c r="AH327" s="9"/>
      <c r="AI327" s="9"/>
      <c r="AJ327" s="9"/>
      <c r="AK327" s="9"/>
      <c r="AL327" s="9"/>
      <c r="AM327" s="9"/>
      <c r="AN327" s="9"/>
      <c r="AO327" s="66">
        <f t="shared" si="597"/>
        <v>0</v>
      </c>
      <c r="AP327" s="66">
        <f t="shared" si="598"/>
        <v>0</v>
      </c>
      <c r="AQ327" s="66">
        <f t="shared" si="599"/>
        <v>0</v>
      </c>
      <c r="AR327" s="9"/>
      <c r="AS327" s="9"/>
      <c r="AT327" s="9"/>
      <c r="AU327" s="9"/>
      <c r="AV327" s="9"/>
      <c r="AW327" s="9">
        <f t="shared" si="600"/>
        <v>0</v>
      </c>
      <c r="AX327" s="9" t="s">
        <v>48</v>
      </c>
      <c r="AY327" s="5">
        <v>0</v>
      </c>
      <c r="AZ327" s="5">
        <f t="shared" si="528"/>
        <v>0</v>
      </c>
    </row>
    <row r="328" spans="1:54" s="5" customFormat="1" ht="30">
      <c r="A328" s="109"/>
      <c r="B328" s="112"/>
      <c r="C328" s="114"/>
      <c r="D328" s="7" t="s">
        <v>21</v>
      </c>
      <c r="E328" s="7">
        <v>42028901</v>
      </c>
      <c r="F328" s="8" t="s">
        <v>86</v>
      </c>
      <c r="G328" s="7">
        <v>43</v>
      </c>
      <c r="H328" s="9"/>
      <c r="I328" s="9"/>
      <c r="J328" s="9"/>
      <c r="K328" s="9"/>
      <c r="L328" s="9"/>
      <c r="M328" s="9"/>
      <c r="N328" s="9"/>
      <c r="O328" s="9">
        <f t="shared" si="601"/>
        <v>0</v>
      </c>
      <c r="P328" s="9">
        <f>1153000-17000</f>
        <v>1136000</v>
      </c>
      <c r="Q328" s="9">
        <v>735000</v>
      </c>
      <c r="R328" s="9">
        <v>1103000</v>
      </c>
      <c r="S328" s="9">
        <v>1755000</v>
      </c>
      <c r="T328" s="9">
        <f t="shared" si="602"/>
        <v>4729000</v>
      </c>
      <c r="U328" s="9">
        <f>84555+5570+16562.36+516534+405957.22+18525.6</f>
        <v>1047704.1799999999</v>
      </c>
      <c r="V328" s="9">
        <f t="shared" si="596"/>
        <v>1047704.1799999999</v>
      </c>
      <c r="W328" s="9">
        <v>1804000</v>
      </c>
      <c r="X328" s="9">
        <v>2794000</v>
      </c>
      <c r="Y328" s="9">
        <v>2314000</v>
      </c>
      <c r="Z328" s="9">
        <v>1804000</v>
      </c>
      <c r="AA328" s="9"/>
      <c r="AB328" s="9">
        <f t="shared" si="603"/>
        <v>8716000</v>
      </c>
      <c r="AC328" s="9">
        <f t="shared" si="604"/>
        <v>0</v>
      </c>
      <c r="AD328" s="66">
        <f t="shared" si="605"/>
        <v>8716000</v>
      </c>
      <c r="AE328" s="9">
        <v>2212734.77</v>
      </c>
      <c r="AF328" s="9">
        <f t="shared" si="592"/>
        <v>3260438.95</v>
      </c>
      <c r="AG328" s="9">
        <f>7231256.71+743.29</f>
        <v>7232000</v>
      </c>
      <c r="AH328" s="9"/>
      <c r="AI328" s="9">
        <v>30000</v>
      </c>
      <c r="AJ328" s="9"/>
      <c r="AK328" s="9"/>
      <c r="AL328" s="9"/>
      <c r="AM328" s="9"/>
      <c r="AN328" s="9"/>
      <c r="AO328" s="66">
        <f t="shared" si="597"/>
        <v>7262000</v>
      </c>
      <c r="AP328" s="66">
        <f t="shared" si="598"/>
        <v>0</v>
      </c>
      <c r="AQ328" s="66">
        <f t="shared" si="599"/>
        <v>7262000</v>
      </c>
      <c r="AR328" s="9">
        <v>-743.29</v>
      </c>
      <c r="AS328" s="9"/>
      <c r="AT328" s="9"/>
      <c r="AU328" s="9"/>
      <c r="AV328" s="9"/>
      <c r="AW328" s="9">
        <f t="shared" si="600"/>
        <v>10521695.66</v>
      </c>
      <c r="AX328" s="44" t="s">
        <v>79</v>
      </c>
      <c r="AY328" s="5">
        <v>10504695.651596639</v>
      </c>
      <c r="AZ328" s="5">
        <f t="shared" si="528"/>
        <v>17000.008403360844</v>
      </c>
    </row>
    <row r="329" spans="1:54" s="5" customFormat="1" ht="30">
      <c r="A329" s="109"/>
      <c r="B329" s="112"/>
      <c r="C329" s="114"/>
      <c r="D329" s="7" t="s">
        <v>21</v>
      </c>
      <c r="E329" s="7">
        <v>42028902</v>
      </c>
      <c r="F329" s="8" t="s">
        <v>45</v>
      </c>
      <c r="G329" s="7">
        <v>43</v>
      </c>
      <c r="H329" s="9"/>
      <c r="I329" s="9"/>
      <c r="J329" s="9"/>
      <c r="K329" s="9"/>
      <c r="L329" s="9"/>
      <c r="M329" s="9"/>
      <c r="N329" s="9"/>
      <c r="O329" s="9">
        <f t="shared" si="601"/>
        <v>0</v>
      </c>
      <c r="P329" s="9"/>
      <c r="Q329" s="9"/>
      <c r="R329" s="9"/>
      <c r="S329" s="9"/>
      <c r="T329" s="9">
        <f t="shared" si="602"/>
        <v>0</v>
      </c>
      <c r="U329" s="9"/>
      <c r="V329" s="9">
        <f t="shared" si="596"/>
        <v>0</v>
      </c>
      <c r="W329" s="9"/>
      <c r="X329" s="9"/>
      <c r="Y329" s="9"/>
      <c r="Z329" s="9"/>
      <c r="AA329" s="9"/>
      <c r="AB329" s="9">
        <f t="shared" si="603"/>
        <v>0</v>
      </c>
      <c r="AC329" s="9">
        <f t="shared" si="604"/>
        <v>0</v>
      </c>
      <c r="AD329" s="66">
        <f t="shared" si="605"/>
        <v>0</v>
      </c>
      <c r="AE329" s="9"/>
      <c r="AF329" s="9">
        <f t="shared" si="592"/>
        <v>0</v>
      </c>
      <c r="AG329" s="9"/>
      <c r="AH329" s="9"/>
      <c r="AI329" s="9"/>
      <c r="AJ329" s="9"/>
      <c r="AK329" s="9"/>
      <c r="AL329" s="9"/>
      <c r="AM329" s="9"/>
      <c r="AN329" s="9"/>
      <c r="AO329" s="66">
        <f t="shared" si="597"/>
        <v>0</v>
      </c>
      <c r="AP329" s="66">
        <f t="shared" si="598"/>
        <v>0</v>
      </c>
      <c r="AQ329" s="66">
        <f t="shared" si="599"/>
        <v>0</v>
      </c>
      <c r="AR329" s="9"/>
      <c r="AS329" s="9"/>
      <c r="AT329" s="9"/>
      <c r="AU329" s="9"/>
      <c r="AV329" s="9"/>
      <c r="AW329" s="9">
        <f t="shared" si="600"/>
        <v>0</v>
      </c>
      <c r="AX329" s="44" t="s">
        <v>79</v>
      </c>
      <c r="AY329" s="5">
        <v>0</v>
      </c>
      <c r="AZ329" s="5">
        <f t="shared" si="528"/>
        <v>0</v>
      </c>
    </row>
    <row r="330" spans="1:54" s="5" customFormat="1" ht="30">
      <c r="A330" s="109"/>
      <c r="B330" s="112"/>
      <c r="C330" s="114"/>
      <c r="D330" s="7" t="s">
        <v>21</v>
      </c>
      <c r="E330" s="7">
        <v>42028903</v>
      </c>
      <c r="F330" s="8" t="s">
        <v>46</v>
      </c>
      <c r="G330" s="7">
        <v>43</v>
      </c>
      <c r="H330" s="9"/>
      <c r="I330" s="9"/>
      <c r="J330" s="9"/>
      <c r="K330" s="9"/>
      <c r="L330" s="9"/>
      <c r="M330" s="9"/>
      <c r="N330" s="9"/>
      <c r="O330" s="9">
        <f t="shared" si="601"/>
        <v>0</v>
      </c>
      <c r="P330" s="9">
        <v>219000</v>
      </c>
      <c r="Q330" s="9">
        <v>140000</v>
      </c>
      <c r="R330" s="9">
        <v>209000</v>
      </c>
      <c r="S330" s="9">
        <v>334000</v>
      </c>
      <c r="T330" s="9">
        <f t="shared" si="602"/>
        <v>902000</v>
      </c>
      <c r="U330" s="9">
        <f>16065.45+1058.3+98141.46+77131.87+3519.86</f>
        <v>195916.94</v>
      </c>
      <c r="V330" s="9">
        <f t="shared" si="596"/>
        <v>195916.94</v>
      </c>
      <c r="W330" s="9">
        <v>343000</v>
      </c>
      <c r="X330" s="9">
        <v>520000</v>
      </c>
      <c r="Y330" s="9">
        <v>347000</v>
      </c>
      <c r="Z330" s="9">
        <v>236000</v>
      </c>
      <c r="AA330" s="9"/>
      <c r="AB330" s="9">
        <f t="shared" si="603"/>
        <v>1446000</v>
      </c>
      <c r="AC330" s="9">
        <f t="shared" si="604"/>
        <v>0</v>
      </c>
      <c r="AD330" s="66">
        <f t="shared" si="605"/>
        <v>1446000</v>
      </c>
      <c r="AE330" s="9">
        <f>52795.12+34032.12+76728.05+240859.66+51119.64</f>
        <v>455534.59</v>
      </c>
      <c r="AF330" s="9">
        <f t="shared" si="592"/>
        <v>651451.53</v>
      </c>
      <c r="AG330" s="9">
        <v>1328000</v>
      </c>
      <c r="AH330" s="9"/>
      <c r="AI330" s="9">
        <v>6000</v>
      </c>
      <c r="AJ330" s="9"/>
      <c r="AK330" s="9"/>
      <c r="AL330" s="9"/>
      <c r="AM330" s="9"/>
      <c r="AN330" s="9"/>
      <c r="AO330" s="66">
        <f t="shared" si="597"/>
        <v>1334000</v>
      </c>
      <c r="AP330" s="66">
        <f t="shared" si="598"/>
        <v>0</v>
      </c>
      <c r="AQ330" s="66">
        <f t="shared" si="599"/>
        <v>1334000</v>
      </c>
      <c r="AR330" s="9">
        <v>222.59</v>
      </c>
      <c r="AS330" s="9"/>
      <c r="AT330" s="9"/>
      <c r="AU330" s="9"/>
      <c r="AV330" s="9"/>
      <c r="AW330" s="9">
        <f t="shared" si="600"/>
        <v>1985674.12</v>
      </c>
      <c r="AX330" s="44" t="s">
        <v>79</v>
      </c>
      <c r="AY330" s="5">
        <v>1971885.0084033611</v>
      </c>
      <c r="AZ330" s="5">
        <f t="shared" si="528"/>
        <v>13789.111596639035</v>
      </c>
    </row>
    <row r="331" spans="1:54" s="5" customFormat="1" ht="30">
      <c r="A331" s="109"/>
      <c r="B331" s="112"/>
      <c r="C331" s="114"/>
      <c r="D331" s="7" t="s">
        <v>21</v>
      </c>
      <c r="E331" s="7"/>
      <c r="F331" s="8" t="s">
        <v>236</v>
      </c>
      <c r="G331" s="7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>
        <v>5401000</v>
      </c>
      <c r="AB331" s="9">
        <f t="shared" si="603"/>
        <v>0</v>
      </c>
      <c r="AC331" s="9">
        <f t="shared" si="604"/>
        <v>5401000</v>
      </c>
      <c r="AD331" s="66">
        <f t="shared" si="605"/>
        <v>5401000</v>
      </c>
      <c r="AE331" s="9"/>
      <c r="AF331" s="9">
        <f t="shared" si="592"/>
        <v>0</v>
      </c>
      <c r="AG331" s="9"/>
      <c r="AH331" s="9">
        <f>AH340-AH325-AH326-AH327-AH328-AH329-AH330</f>
        <v>5300000</v>
      </c>
      <c r="AI331" s="9"/>
      <c r="AJ331" s="9">
        <f>AJ340-AJ325-AJ326-AJ327-AJ328-AJ329-AJ330</f>
        <v>0</v>
      </c>
      <c r="AK331" s="9"/>
      <c r="AL331" s="9">
        <f>AL340-AL325-AL326-AL327-AL328-AL329-AL330</f>
        <v>0</v>
      </c>
      <c r="AM331" s="9"/>
      <c r="AN331" s="9">
        <f>AN340-AN325-AN326-AN327-AN328-AN329-AN330</f>
        <v>0</v>
      </c>
      <c r="AO331" s="66">
        <f t="shared" si="597"/>
        <v>0</v>
      </c>
      <c r="AP331" s="66">
        <f t="shared" si="598"/>
        <v>5300000</v>
      </c>
      <c r="AQ331" s="66">
        <f t="shared" si="599"/>
        <v>5300000</v>
      </c>
      <c r="AR331" s="9"/>
      <c r="AS331" s="9"/>
      <c r="AT331" s="9"/>
      <c r="AU331" s="9"/>
      <c r="AV331" s="9"/>
      <c r="AW331" s="9">
        <f t="shared" si="600"/>
        <v>5300000</v>
      </c>
      <c r="AX331" s="44" t="s">
        <v>79</v>
      </c>
    </row>
    <row r="332" spans="1:54" s="5" customFormat="1">
      <c r="A332" s="109"/>
      <c r="B332" s="112"/>
      <c r="C332" s="114"/>
      <c r="D332" s="7" t="s">
        <v>21</v>
      </c>
      <c r="E332" s="7"/>
      <c r="F332" s="7" t="s">
        <v>19</v>
      </c>
      <c r="G332" s="7">
        <v>43</v>
      </c>
      <c r="H332" s="9">
        <f>H340-H325-H326-H327-H328-H329-H330</f>
        <v>84341.25</v>
      </c>
      <c r="I332" s="9">
        <f t="shared" ref="I332:M332" si="606">I340-I325-I326-I327</f>
        <v>3000</v>
      </c>
      <c r="J332" s="9">
        <f t="shared" si="606"/>
        <v>0</v>
      </c>
      <c r="K332" s="9">
        <f t="shared" si="606"/>
        <v>0</v>
      </c>
      <c r="L332" s="9">
        <f t="shared" si="606"/>
        <v>0</v>
      </c>
      <c r="M332" s="9">
        <f t="shared" si="606"/>
        <v>3000</v>
      </c>
      <c r="N332" s="9">
        <f t="shared" ref="N332:U332" si="607">N340-N325-N326-N327-N328-N329-N330</f>
        <v>0</v>
      </c>
      <c r="O332" s="9">
        <f t="shared" si="607"/>
        <v>84341.25</v>
      </c>
      <c r="P332" s="9">
        <f t="shared" si="607"/>
        <v>3000</v>
      </c>
      <c r="Q332" s="9">
        <f t="shared" si="607"/>
        <v>2000</v>
      </c>
      <c r="R332" s="9">
        <f t="shared" si="607"/>
        <v>2000</v>
      </c>
      <c r="S332" s="9">
        <f>S340-S325-S326-S327-S328-S329-S330</f>
        <v>2000</v>
      </c>
      <c r="T332" s="9">
        <f t="shared" si="607"/>
        <v>9000</v>
      </c>
      <c r="U332" s="9">
        <f t="shared" si="607"/>
        <v>102691.49999999994</v>
      </c>
      <c r="V332" s="9">
        <f>V340-V325-V326-V327-V328-V329-V330-V331</f>
        <v>187032.74999999994</v>
      </c>
      <c r="W332" s="9">
        <f t="shared" ref="W332:AE332" si="608">W340-W325-W326-W327-W328-W329-W330-W331</f>
        <v>104000</v>
      </c>
      <c r="X332" s="9">
        <f t="shared" si="608"/>
        <v>0</v>
      </c>
      <c r="Y332" s="9">
        <f t="shared" si="608"/>
        <v>0</v>
      </c>
      <c r="Z332" s="9">
        <f t="shared" si="608"/>
        <v>-102000</v>
      </c>
      <c r="AA332" s="9">
        <f t="shared" si="608"/>
        <v>0</v>
      </c>
      <c r="AB332" s="9">
        <f t="shared" si="608"/>
        <v>2000</v>
      </c>
      <c r="AC332" s="9">
        <f t="shared" si="608"/>
        <v>0</v>
      </c>
      <c r="AD332" s="66">
        <f t="shared" si="608"/>
        <v>2000</v>
      </c>
      <c r="AE332" s="9">
        <f t="shared" si="608"/>
        <v>120008.13999999949</v>
      </c>
      <c r="AF332" s="9">
        <f t="shared" ref="AF332" si="609">AF340-AF325-AF326-AF327-AF328-AF329-AF330-AF331</f>
        <v>307040.88999999897</v>
      </c>
      <c r="AG332" s="9">
        <f t="shared" ref="AG332:AW332" si="610">AG340-AG325-AG326-AG327-AG328-AG329-AG330-AG331</f>
        <v>117000</v>
      </c>
      <c r="AH332" s="9">
        <f>AH340-AH325-AH326-AH327-AH328-AH329-AH330-AH331</f>
        <v>0</v>
      </c>
      <c r="AI332" s="9">
        <f t="shared" si="610"/>
        <v>0</v>
      </c>
      <c r="AJ332" s="9">
        <f t="shared" si="610"/>
        <v>0</v>
      </c>
      <c r="AK332" s="9">
        <f t="shared" si="610"/>
        <v>0</v>
      </c>
      <c r="AL332" s="9">
        <f t="shared" si="610"/>
        <v>0</v>
      </c>
      <c r="AM332" s="9">
        <f t="shared" si="610"/>
        <v>0</v>
      </c>
      <c r="AN332" s="9">
        <f t="shared" si="610"/>
        <v>0</v>
      </c>
      <c r="AO332" s="66">
        <f t="shared" si="610"/>
        <v>117000</v>
      </c>
      <c r="AP332" s="66">
        <f t="shared" si="610"/>
        <v>0</v>
      </c>
      <c r="AQ332" s="66">
        <f t="shared" si="610"/>
        <v>117000</v>
      </c>
      <c r="AR332" s="9">
        <f t="shared" si="610"/>
        <v>190.83999999999995</v>
      </c>
      <c r="AS332" s="9">
        <f t="shared" si="610"/>
        <v>0</v>
      </c>
      <c r="AT332" s="9">
        <f t="shared" si="610"/>
        <v>0</v>
      </c>
      <c r="AU332" s="9">
        <f t="shared" si="610"/>
        <v>0</v>
      </c>
      <c r="AV332" s="9">
        <f t="shared" si="610"/>
        <v>0</v>
      </c>
      <c r="AW332" s="9">
        <f t="shared" si="610"/>
        <v>424231.72999999765</v>
      </c>
      <c r="AX332" s="9" t="s">
        <v>48</v>
      </c>
      <c r="AY332" s="5">
        <v>5737576.2300000004</v>
      </c>
      <c r="AZ332" s="5">
        <f t="shared" si="528"/>
        <v>-5313344.5000000028</v>
      </c>
    </row>
    <row r="333" spans="1:54" s="5" customFormat="1">
      <c r="A333" s="109"/>
      <c r="B333" s="112"/>
      <c r="C333" s="114"/>
      <c r="D333" s="7" t="s">
        <v>21</v>
      </c>
      <c r="E333" s="7"/>
      <c r="F333" s="7" t="s">
        <v>47</v>
      </c>
      <c r="G333" s="7">
        <v>43</v>
      </c>
      <c r="H333" s="9">
        <f t="shared" ref="H333:R333" si="611">SUM(H325:H332)</f>
        <v>84341.25</v>
      </c>
      <c r="I333" s="9">
        <f t="shared" si="611"/>
        <v>3000</v>
      </c>
      <c r="J333" s="9">
        <f t="shared" si="611"/>
        <v>0</v>
      </c>
      <c r="K333" s="9">
        <f t="shared" si="611"/>
        <v>669000</v>
      </c>
      <c r="L333" s="9">
        <f t="shared" si="611"/>
        <v>10000</v>
      </c>
      <c r="M333" s="9">
        <f t="shared" si="611"/>
        <v>682000</v>
      </c>
      <c r="N333" s="9">
        <f t="shared" si="611"/>
        <v>0</v>
      </c>
      <c r="O333" s="9">
        <f t="shared" si="611"/>
        <v>84341.25</v>
      </c>
      <c r="P333" s="9">
        <f t="shared" si="611"/>
        <v>1375000</v>
      </c>
      <c r="Q333" s="9">
        <f t="shared" si="611"/>
        <v>877000</v>
      </c>
      <c r="R333" s="9">
        <f t="shared" si="611"/>
        <v>1314000</v>
      </c>
      <c r="S333" s="9">
        <f>SUM(S325:S332)</f>
        <v>2091000</v>
      </c>
      <c r="T333" s="9">
        <f>SUM(P333:S333)</f>
        <v>5657000</v>
      </c>
      <c r="U333" s="9">
        <f t="shared" ref="U333:V333" si="612">SUM(U325:U332)</f>
        <v>1346312.6199999999</v>
      </c>
      <c r="V333" s="9">
        <f t="shared" si="612"/>
        <v>1430653.8699999999</v>
      </c>
      <c r="W333" s="9">
        <f t="shared" ref="W333:AE333" si="613">SUM(W325:W332)</f>
        <v>2251000</v>
      </c>
      <c r="X333" s="9">
        <f t="shared" si="613"/>
        <v>3314000</v>
      </c>
      <c r="Y333" s="9">
        <f t="shared" si="613"/>
        <v>2661000</v>
      </c>
      <c r="Z333" s="9">
        <f t="shared" si="613"/>
        <v>1938000</v>
      </c>
      <c r="AA333" s="9">
        <f t="shared" ref="AA333:AC333" si="614">SUM(AA325:AA332)</f>
        <v>5401000</v>
      </c>
      <c r="AB333" s="9">
        <f t="shared" si="614"/>
        <v>10164000</v>
      </c>
      <c r="AC333" s="9">
        <f t="shared" si="614"/>
        <v>5401000</v>
      </c>
      <c r="AD333" s="66">
        <f t="shared" si="613"/>
        <v>15565000</v>
      </c>
      <c r="AE333" s="9">
        <f t="shared" si="613"/>
        <v>2788277.4999999995</v>
      </c>
      <c r="AF333" s="9">
        <f t="shared" ref="AF333" si="615">SUM(AF325:AF332)</f>
        <v>4218931.3699999992</v>
      </c>
      <c r="AG333" s="9">
        <f t="shared" ref="AG333:AW333" si="616">SUM(AG325:AG332)</f>
        <v>8677000</v>
      </c>
      <c r="AH333" s="9">
        <f t="shared" si="616"/>
        <v>5300000</v>
      </c>
      <c r="AI333" s="9">
        <f t="shared" si="616"/>
        <v>36000</v>
      </c>
      <c r="AJ333" s="9">
        <f t="shared" si="616"/>
        <v>0</v>
      </c>
      <c r="AK333" s="9">
        <f t="shared" si="616"/>
        <v>0</v>
      </c>
      <c r="AL333" s="9">
        <f t="shared" si="616"/>
        <v>0</v>
      </c>
      <c r="AM333" s="9">
        <f t="shared" si="616"/>
        <v>0</v>
      </c>
      <c r="AN333" s="9">
        <f t="shared" si="616"/>
        <v>0</v>
      </c>
      <c r="AO333" s="66">
        <f t="shared" si="616"/>
        <v>8713000</v>
      </c>
      <c r="AP333" s="66">
        <f t="shared" si="616"/>
        <v>5300000</v>
      </c>
      <c r="AQ333" s="66">
        <f t="shared" si="616"/>
        <v>14013000</v>
      </c>
      <c r="AR333" s="9">
        <f t="shared" si="616"/>
        <v>-329.86</v>
      </c>
      <c r="AS333" s="9">
        <f t="shared" si="616"/>
        <v>0</v>
      </c>
      <c r="AT333" s="9">
        <f t="shared" si="616"/>
        <v>0</v>
      </c>
      <c r="AU333" s="9">
        <f t="shared" si="616"/>
        <v>0</v>
      </c>
      <c r="AV333" s="9">
        <f t="shared" si="616"/>
        <v>0</v>
      </c>
      <c r="AW333" s="9">
        <f t="shared" si="616"/>
        <v>18231601.509999998</v>
      </c>
      <c r="AX333" s="9" t="s">
        <v>48</v>
      </c>
      <c r="AY333" s="5">
        <v>18231156.890000001</v>
      </c>
      <c r="AZ333" s="5">
        <f t="shared" si="528"/>
        <v>444.61999999731779</v>
      </c>
    </row>
    <row r="334" spans="1:54" s="4" customFormat="1" ht="30">
      <c r="A334" s="109"/>
      <c r="B334" s="112"/>
      <c r="C334" s="114"/>
      <c r="D334" s="25" t="s">
        <v>22</v>
      </c>
      <c r="E334" s="25">
        <v>6001</v>
      </c>
      <c r="F334" s="37" t="s">
        <v>44</v>
      </c>
      <c r="G334" s="25">
        <v>43</v>
      </c>
      <c r="H334" s="26"/>
      <c r="I334" s="26"/>
      <c r="J334" s="26"/>
      <c r="K334" s="26">
        <f>561662.6+337.400000000023</f>
        <v>562000</v>
      </c>
      <c r="L334" s="26">
        <f>7963.23-337.400000000023+374.170000000024</f>
        <v>8000</v>
      </c>
      <c r="M334" s="26">
        <f t="shared" si="110"/>
        <v>570000</v>
      </c>
      <c r="N334" s="26"/>
      <c r="O334" s="26">
        <f t="shared" si="601"/>
        <v>0</v>
      </c>
      <c r="P334" s="26">
        <v>17000</v>
      </c>
      <c r="Q334" s="26"/>
      <c r="R334" s="26"/>
      <c r="S334" s="26"/>
      <c r="T334" s="26">
        <f t="shared" si="602"/>
        <v>17000</v>
      </c>
      <c r="U334" s="26">
        <v>16562.36</v>
      </c>
      <c r="V334" s="26">
        <f t="shared" ref="V334:V339" si="617">O334+U334</f>
        <v>16562.36</v>
      </c>
      <c r="W334" s="26"/>
      <c r="X334" s="26"/>
      <c r="Y334" s="26"/>
      <c r="Z334" s="26"/>
      <c r="AA334" s="26"/>
      <c r="AB334" s="26">
        <f t="shared" ref="AB334:AB339" si="618">W334+X334+Y334+Z334</f>
        <v>0</v>
      </c>
      <c r="AC334" s="26">
        <f t="shared" ref="AC334:AC339" si="619">AA334</f>
        <v>0</v>
      </c>
      <c r="AD334" s="67">
        <f t="shared" ref="AD334:AD339" si="620">AB334+AC334</f>
        <v>0</v>
      </c>
      <c r="AE334" s="26"/>
      <c r="AF334" s="26">
        <f t="shared" ref="AF334:AF339" si="621">V334+AE334</f>
        <v>16562.36</v>
      </c>
      <c r="AG334" s="26"/>
      <c r="AH334" s="26"/>
      <c r="AI334" s="26"/>
      <c r="AJ334" s="26"/>
      <c r="AK334" s="26"/>
      <c r="AL334" s="26"/>
      <c r="AM334" s="26"/>
      <c r="AN334" s="26"/>
      <c r="AO334" s="67">
        <f t="shared" si="597"/>
        <v>0</v>
      </c>
      <c r="AP334" s="67">
        <f t="shared" si="598"/>
        <v>0</v>
      </c>
      <c r="AQ334" s="67">
        <f t="shared" si="599"/>
        <v>0</v>
      </c>
      <c r="AR334" s="26"/>
      <c r="AS334" s="26"/>
      <c r="AT334" s="26"/>
      <c r="AU334" s="26"/>
      <c r="AV334" s="26"/>
      <c r="AW334" s="26">
        <f t="shared" si="600"/>
        <v>16562.36</v>
      </c>
      <c r="AX334" s="26" t="s">
        <v>48</v>
      </c>
      <c r="AY334" s="4">
        <v>16562.36</v>
      </c>
      <c r="AZ334" s="4">
        <f t="shared" si="528"/>
        <v>0</v>
      </c>
    </row>
    <row r="335" spans="1:54" s="4" customFormat="1" ht="30">
      <c r="A335" s="109"/>
      <c r="B335" s="112"/>
      <c r="C335" s="114"/>
      <c r="D335" s="25" t="s">
        <v>22</v>
      </c>
      <c r="E335" s="25">
        <v>6002</v>
      </c>
      <c r="F335" s="37" t="s">
        <v>45</v>
      </c>
      <c r="G335" s="25">
        <v>43</v>
      </c>
      <c r="H335" s="26">
        <v>84341.25</v>
      </c>
      <c r="I335" s="26">
        <f>2163.64+836.36</f>
        <v>3000</v>
      </c>
      <c r="J335" s="26"/>
      <c r="K335" s="26"/>
      <c r="L335" s="26"/>
      <c r="M335" s="26">
        <f t="shared" si="110"/>
        <v>3000</v>
      </c>
      <c r="N335" s="26"/>
      <c r="O335" s="26">
        <f t="shared" si="601"/>
        <v>84341.25</v>
      </c>
      <c r="P335" s="26"/>
      <c r="Q335" s="26"/>
      <c r="R335" s="26"/>
      <c r="S335" s="26"/>
      <c r="T335" s="26">
        <f t="shared" si="602"/>
        <v>0</v>
      </c>
      <c r="U335" s="26"/>
      <c r="V335" s="26">
        <f t="shared" si="617"/>
        <v>84341.25</v>
      </c>
      <c r="W335" s="26"/>
      <c r="X335" s="26"/>
      <c r="Y335" s="26"/>
      <c r="Z335" s="26"/>
      <c r="AA335" s="26"/>
      <c r="AB335" s="26">
        <f t="shared" si="618"/>
        <v>0</v>
      </c>
      <c r="AC335" s="26">
        <f t="shared" si="619"/>
        <v>0</v>
      </c>
      <c r="AD335" s="67">
        <f t="shared" si="620"/>
        <v>0</v>
      </c>
      <c r="AE335" s="26"/>
      <c r="AF335" s="26">
        <f t="shared" si="621"/>
        <v>84341.25</v>
      </c>
      <c r="AG335" s="26"/>
      <c r="AH335" s="26"/>
      <c r="AI335" s="26"/>
      <c r="AJ335" s="26"/>
      <c r="AK335" s="26"/>
      <c r="AL335" s="26"/>
      <c r="AM335" s="26"/>
      <c r="AN335" s="26"/>
      <c r="AO335" s="67">
        <f t="shared" si="597"/>
        <v>0</v>
      </c>
      <c r="AP335" s="67">
        <f t="shared" si="598"/>
        <v>0</v>
      </c>
      <c r="AQ335" s="67">
        <f t="shared" si="599"/>
        <v>0</v>
      </c>
      <c r="AR335" s="26"/>
      <c r="AS335" s="26"/>
      <c r="AT335" s="26"/>
      <c r="AU335" s="26"/>
      <c r="AV335" s="26"/>
      <c r="AW335" s="26">
        <f t="shared" si="600"/>
        <v>84341.25</v>
      </c>
      <c r="AX335" s="26" t="s">
        <v>48</v>
      </c>
      <c r="AY335" s="4">
        <v>84341.25</v>
      </c>
      <c r="AZ335" s="4">
        <f t="shared" si="528"/>
        <v>0</v>
      </c>
    </row>
    <row r="336" spans="1:54" s="4" customFormat="1">
      <c r="A336" s="109"/>
      <c r="B336" s="112"/>
      <c r="C336" s="114"/>
      <c r="D336" s="25" t="s">
        <v>22</v>
      </c>
      <c r="E336" s="25">
        <v>6003</v>
      </c>
      <c r="F336" s="37" t="s">
        <v>46</v>
      </c>
      <c r="G336" s="25">
        <v>43</v>
      </c>
      <c r="H336" s="26"/>
      <c r="I336" s="26"/>
      <c r="J336" s="26"/>
      <c r="K336" s="26">
        <f>106715.89+284.110000000001</f>
        <v>107000</v>
      </c>
      <c r="L336" s="26">
        <f>1513.02-284.110000000001+771.090000000001</f>
        <v>2000</v>
      </c>
      <c r="M336" s="26">
        <f t="shared" si="110"/>
        <v>109000</v>
      </c>
      <c r="N336" s="26"/>
      <c r="O336" s="26">
        <f t="shared" si="601"/>
        <v>0</v>
      </c>
      <c r="P336" s="26"/>
      <c r="Q336" s="26"/>
      <c r="R336" s="26"/>
      <c r="S336" s="26"/>
      <c r="T336" s="26">
        <f>SUM(P336:S336)</f>
        <v>0</v>
      </c>
      <c r="U336" s="26"/>
      <c r="V336" s="26">
        <f t="shared" si="617"/>
        <v>0</v>
      </c>
      <c r="W336" s="26"/>
      <c r="X336" s="26"/>
      <c r="Y336" s="26"/>
      <c r="Z336" s="26"/>
      <c r="AA336" s="26"/>
      <c r="AB336" s="26">
        <f t="shared" si="618"/>
        <v>0</v>
      </c>
      <c r="AC336" s="26">
        <f t="shared" si="619"/>
        <v>0</v>
      </c>
      <c r="AD336" s="67">
        <f t="shared" si="620"/>
        <v>0</v>
      </c>
      <c r="AE336" s="26"/>
      <c r="AF336" s="26">
        <f t="shared" si="621"/>
        <v>0</v>
      </c>
      <c r="AG336" s="26"/>
      <c r="AH336" s="26"/>
      <c r="AI336" s="26"/>
      <c r="AJ336" s="26"/>
      <c r="AK336" s="26"/>
      <c r="AL336" s="26"/>
      <c r="AM336" s="26"/>
      <c r="AN336" s="26"/>
      <c r="AO336" s="67">
        <f t="shared" si="597"/>
        <v>0</v>
      </c>
      <c r="AP336" s="67">
        <f t="shared" si="598"/>
        <v>0</v>
      </c>
      <c r="AQ336" s="67">
        <f t="shared" si="599"/>
        <v>0</v>
      </c>
      <c r="AR336" s="26"/>
      <c r="AS336" s="26"/>
      <c r="AT336" s="26"/>
      <c r="AU336" s="26"/>
      <c r="AV336" s="26"/>
      <c r="AW336" s="26">
        <f t="shared" si="600"/>
        <v>0</v>
      </c>
      <c r="AX336" s="26" t="s">
        <v>48</v>
      </c>
      <c r="AY336" s="4">
        <v>0</v>
      </c>
      <c r="AZ336" s="4">
        <f t="shared" si="528"/>
        <v>0</v>
      </c>
    </row>
    <row r="337" spans="1:52" s="4" customFormat="1" ht="30">
      <c r="A337" s="109"/>
      <c r="B337" s="112"/>
      <c r="C337" s="114"/>
      <c r="D337" s="25" t="s">
        <v>22</v>
      </c>
      <c r="E337" s="25">
        <v>6101</v>
      </c>
      <c r="F337" s="37" t="s">
        <v>85</v>
      </c>
      <c r="G337" s="25">
        <v>43</v>
      </c>
      <c r="H337" s="26"/>
      <c r="I337" s="26"/>
      <c r="J337" s="26"/>
      <c r="K337" s="26"/>
      <c r="L337" s="26"/>
      <c r="M337" s="26"/>
      <c r="N337" s="26"/>
      <c r="O337" s="26">
        <f t="shared" si="601"/>
        <v>0</v>
      </c>
      <c r="P337" s="26">
        <f>1153000-17000</f>
        <v>1136000</v>
      </c>
      <c r="Q337" s="26">
        <v>735000</v>
      </c>
      <c r="R337" s="26">
        <v>1103000</v>
      </c>
      <c r="S337" s="26">
        <v>1405000</v>
      </c>
      <c r="T337" s="26">
        <f t="shared" ref="T337:T339" si="622">SUM(P337:S337)</f>
        <v>4379000</v>
      </c>
      <c r="U337" s="26">
        <v>1031141.82</v>
      </c>
      <c r="V337" s="26">
        <f t="shared" si="617"/>
        <v>1031141.82</v>
      </c>
      <c r="W337" s="26">
        <v>1804000</v>
      </c>
      <c r="X337" s="26">
        <f>2793444+556</f>
        <v>2794000</v>
      </c>
      <c r="Y337" s="26">
        <f>2314475.54-556+80.4599999999627</f>
        <v>2314000</v>
      </c>
      <c r="Z337" s="26">
        <f>1804000-102000</f>
        <v>1702000</v>
      </c>
      <c r="AA337" s="26"/>
      <c r="AB337" s="26">
        <f t="shared" si="618"/>
        <v>8614000</v>
      </c>
      <c r="AC337" s="26">
        <f t="shared" si="619"/>
        <v>0</v>
      </c>
      <c r="AD337" s="67">
        <f t="shared" si="620"/>
        <v>8614000</v>
      </c>
      <c r="AE337" s="26">
        <v>2229297.13</v>
      </c>
      <c r="AF337" s="26">
        <f t="shared" si="621"/>
        <v>3260438.9499999997</v>
      </c>
      <c r="AG337" s="26">
        <f>7214694.35+305.65</f>
        <v>7215000</v>
      </c>
      <c r="AH337" s="26"/>
      <c r="AI337" s="26">
        <f>30000-305.65+305.65</f>
        <v>30000</v>
      </c>
      <c r="AJ337" s="26"/>
      <c r="AK337" s="26"/>
      <c r="AL337" s="26"/>
      <c r="AM337" s="26"/>
      <c r="AN337" s="26"/>
      <c r="AO337" s="67">
        <f t="shared" si="597"/>
        <v>7245000</v>
      </c>
      <c r="AP337" s="67">
        <f t="shared" si="598"/>
        <v>0</v>
      </c>
      <c r="AQ337" s="67">
        <f t="shared" si="599"/>
        <v>7245000</v>
      </c>
      <c r="AR337" s="26">
        <v>-305.64999999999998</v>
      </c>
      <c r="AS337" s="26"/>
      <c r="AT337" s="26"/>
      <c r="AU337" s="26"/>
      <c r="AV337" s="26"/>
      <c r="AW337" s="26">
        <f t="shared" si="600"/>
        <v>10505133.299999999</v>
      </c>
      <c r="AX337" s="57" t="s">
        <v>79</v>
      </c>
      <c r="AY337" s="4">
        <v>10491789.49</v>
      </c>
      <c r="AZ337" s="4">
        <f t="shared" si="528"/>
        <v>13343.809999998659</v>
      </c>
    </row>
    <row r="338" spans="1:52" s="4" customFormat="1" ht="30">
      <c r="A338" s="109"/>
      <c r="B338" s="112"/>
      <c r="C338" s="114"/>
      <c r="D338" s="25" t="s">
        <v>22</v>
      </c>
      <c r="E338" s="25">
        <v>6102</v>
      </c>
      <c r="F338" s="37" t="s">
        <v>45</v>
      </c>
      <c r="G338" s="25">
        <v>43</v>
      </c>
      <c r="H338" s="26"/>
      <c r="I338" s="26"/>
      <c r="J338" s="26"/>
      <c r="K338" s="26"/>
      <c r="L338" s="26"/>
      <c r="M338" s="26"/>
      <c r="N338" s="26"/>
      <c r="O338" s="26">
        <f t="shared" si="601"/>
        <v>0</v>
      </c>
      <c r="P338" s="26">
        <v>3000</v>
      </c>
      <c r="Q338" s="26">
        <v>2000</v>
      </c>
      <c r="R338" s="26">
        <v>2000</v>
      </c>
      <c r="S338" s="26">
        <v>352000</v>
      </c>
      <c r="T338" s="26">
        <f t="shared" si="622"/>
        <v>359000</v>
      </c>
      <c r="U338" s="26">
        <v>102691.5</v>
      </c>
      <c r="V338" s="26">
        <f t="shared" si="617"/>
        <v>102691.5</v>
      </c>
      <c r="W338" s="26">
        <f>1500000-1396000</f>
        <v>104000</v>
      </c>
      <c r="X338" s="26">
        <f>2000000-2000000</f>
        <v>0</v>
      </c>
      <c r="Y338" s="26">
        <f>1399219+781-1400000</f>
        <v>0</v>
      </c>
      <c r="Z338" s="26">
        <f>503050-50-503000</f>
        <v>0</v>
      </c>
      <c r="AA338" s="26">
        <v>5401000</v>
      </c>
      <c r="AB338" s="26">
        <f t="shared" si="618"/>
        <v>104000</v>
      </c>
      <c r="AC338" s="26">
        <f t="shared" si="619"/>
        <v>5401000</v>
      </c>
      <c r="AD338" s="67">
        <f t="shared" si="620"/>
        <v>5505000</v>
      </c>
      <c r="AE338" s="26">
        <v>103445.78</v>
      </c>
      <c r="AF338" s="26">
        <f t="shared" si="621"/>
        <v>206137.28</v>
      </c>
      <c r="AG338" s="26">
        <f>5433753.2+246.8-5300000</f>
        <v>134000</v>
      </c>
      <c r="AH338" s="26">
        <v>5300000</v>
      </c>
      <c r="AI338" s="26"/>
      <c r="AJ338" s="26"/>
      <c r="AK338" s="26"/>
      <c r="AL338" s="26"/>
      <c r="AM338" s="26"/>
      <c r="AN338" s="26"/>
      <c r="AO338" s="67">
        <f t="shared" si="597"/>
        <v>134000</v>
      </c>
      <c r="AP338" s="67">
        <f t="shared" si="598"/>
        <v>5300000</v>
      </c>
      <c r="AQ338" s="67">
        <f t="shared" si="599"/>
        <v>5434000</v>
      </c>
      <c r="AR338" s="26">
        <v>-246.8</v>
      </c>
      <c r="AS338" s="26"/>
      <c r="AT338" s="26"/>
      <c r="AU338" s="26"/>
      <c r="AV338" s="26"/>
      <c r="AW338" s="26">
        <f t="shared" si="600"/>
        <v>5639890.4800000004</v>
      </c>
      <c r="AX338" s="57" t="s">
        <v>79</v>
      </c>
      <c r="AY338" s="4">
        <v>5639890.5</v>
      </c>
      <c r="AZ338" s="4">
        <f t="shared" si="528"/>
        <v>-1.9999999552965164E-2</v>
      </c>
    </row>
    <row r="339" spans="1:52" s="4" customFormat="1" ht="30">
      <c r="A339" s="109"/>
      <c r="B339" s="112"/>
      <c r="C339" s="114"/>
      <c r="D339" s="25" t="s">
        <v>22</v>
      </c>
      <c r="E339" s="25">
        <v>6103</v>
      </c>
      <c r="F339" s="37" t="s">
        <v>46</v>
      </c>
      <c r="G339" s="25">
        <v>43</v>
      </c>
      <c r="H339" s="26"/>
      <c r="I339" s="26"/>
      <c r="J339" s="26"/>
      <c r="K339" s="26"/>
      <c r="L339" s="26"/>
      <c r="M339" s="26"/>
      <c r="N339" s="26"/>
      <c r="O339" s="26">
        <f t="shared" si="601"/>
        <v>0</v>
      </c>
      <c r="P339" s="26">
        <v>219000</v>
      </c>
      <c r="Q339" s="26">
        <v>140000</v>
      </c>
      <c r="R339" s="26">
        <v>209000</v>
      </c>
      <c r="S339" s="26">
        <v>334000</v>
      </c>
      <c r="T339" s="26">
        <f t="shared" si="622"/>
        <v>902000</v>
      </c>
      <c r="U339" s="26">
        <v>195916.94</v>
      </c>
      <c r="V339" s="26">
        <f t="shared" si="617"/>
        <v>195916.94</v>
      </c>
      <c r="W339" s="26">
        <f>342760+240</f>
        <v>343000</v>
      </c>
      <c r="X339" s="26">
        <f>520008-8</f>
        <v>520000</v>
      </c>
      <c r="Y339" s="26">
        <f>346560-240+8+672</f>
        <v>347000</v>
      </c>
      <c r="Z339" s="26">
        <f>235946-672+726</f>
        <v>236000</v>
      </c>
      <c r="AA339" s="26"/>
      <c r="AB339" s="26">
        <f t="shared" si="618"/>
        <v>1446000</v>
      </c>
      <c r="AC339" s="26">
        <f t="shared" si="619"/>
        <v>0</v>
      </c>
      <c r="AD339" s="67">
        <f t="shared" si="620"/>
        <v>1446000</v>
      </c>
      <c r="AE339" s="26">
        <v>455534.59</v>
      </c>
      <c r="AF339" s="26">
        <f t="shared" si="621"/>
        <v>651451.53</v>
      </c>
      <c r="AG339" s="26">
        <f>1327477.41+522.59</f>
        <v>1328000</v>
      </c>
      <c r="AH339" s="26"/>
      <c r="AI339" s="26">
        <f>6300-522.59+222.59</f>
        <v>6000</v>
      </c>
      <c r="AJ339" s="26"/>
      <c r="AK339" s="26"/>
      <c r="AL339" s="26"/>
      <c r="AM339" s="26"/>
      <c r="AN339" s="26"/>
      <c r="AO339" s="67">
        <f t="shared" si="597"/>
        <v>1334000</v>
      </c>
      <c r="AP339" s="67">
        <f t="shared" si="598"/>
        <v>0</v>
      </c>
      <c r="AQ339" s="67">
        <f t="shared" si="599"/>
        <v>1334000</v>
      </c>
      <c r="AR339" s="26">
        <v>222.59</v>
      </c>
      <c r="AS339" s="26"/>
      <c r="AT339" s="26"/>
      <c r="AU339" s="26"/>
      <c r="AV339" s="26"/>
      <c r="AW339" s="26">
        <f t="shared" si="600"/>
        <v>1985674.12</v>
      </c>
      <c r="AX339" s="57" t="s">
        <v>79</v>
      </c>
      <c r="AY339" s="4">
        <v>1971885.07</v>
      </c>
      <c r="AZ339" s="4">
        <f t="shared" si="528"/>
        <v>13789.050000000047</v>
      </c>
    </row>
    <row r="340" spans="1:52" s="4" customFormat="1">
      <c r="A340" s="109"/>
      <c r="B340" s="112"/>
      <c r="C340" s="114"/>
      <c r="D340" s="25" t="s">
        <v>22</v>
      </c>
      <c r="E340" s="25"/>
      <c r="F340" s="25" t="s">
        <v>29</v>
      </c>
      <c r="G340" s="25">
        <v>43</v>
      </c>
      <c r="H340" s="26">
        <f>SUM(H334:H339)</f>
        <v>84341.25</v>
      </c>
      <c r="I340" s="26">
        <f t="shared" ref="I340:M340" si="623">SUM(I334:I336)</f>
        <v>3000</v>
      </c>
      <c r="J340" s="26">
        <f t="shared" si="623"/>
        <v>0</v>
      </c>
      <c r="K340" s="26">
        <f t="shared" si="623"/>
        <v>669000</v>
      </c>
      <c r="L340" s="26">
        <f t="shared" si="623"/>
        <v>10000</v>
      </c>
      <c r="M340" s="26">
        <f t="shared" si="623"/>
        <v>682000</v>
      </c>
      <c r="N340" s="26">
        <f t="shared" ref="N340:S340" si="624">SUM(N334:N339)</f>
        <v>0</v>
      </c>
      <c r="O340" s="26">
        <f t="shared" si="624"/>
        <v>84341.25</v>
      </c>
      <c r="P340" s="26">
        <f t="shared" si="624"/>
        <v>1375000</v>
      </c>
      <c r="Q340" s="26">
        <f t="shared" si="624"/>
        <v>877000</v>
      </c>
      <c r="R340" s="26">
        <f t="shared" si="624"/>
        <v>1314000</v>
      </c>
      <c r="S340" s="26">
        <f t="shared" si="624"/>
        <v>2091000</v>
      </c>
      <c r="T340" s="26">
        <f>SUM(T334:T339)</f>
        <v>5657000</v>
      </c>
      <c r="U340" s="26">
        <f t="shared" ref="U340:AC340" si="625">SUM(U334:U339)</f>
        <v>1346312.6199999999</v>
      </c>
      <c r="V340" s="26">
        <f t="shared" si="625"/>
        <v>1430653.8699999999</v>
      </c>
      <c r="W340" s="26">
        <f t="shared" si="625"/>
        <v>2251000</v>
      </c>
      <c r="X340" s="26">
        <f t="shared" si="625"/>
        <v>3314000</v>
      </c>
      <c r="Y340" s="26">
        <f t="shared" si="625"/>
        <v>2661000</v>
      </c>
      <c r="Z340" s="26">
        <f t="shared" si="625"/>
        <v>1938000</v>
      </c>
      <c r="AA340" s="26">
        <f t="shared" si="625"/>
        <v>5401000</v>
      </c>
      <c r="AB340" s="26">
        <f t="shared" si="625"/>
        <v>10164000</v>
      </c>
      <c r="AC340" s="26">
        <f t="shared" si="625"/>
        <v>5401000</v>
      </c>
      <c r="AD340" s="67">
        <f>SUM(AD334:AD339)</f>
        <v>15565000</v>
      </c>
      <c r="AE340" s="26">
        <f t="shared" ref="AE340:AW340" si="626">SUM(AE334:AE339)</f>
        <v>2788277.4999999995</v>
      </c>
      <c r="AF340" s="26">
        <f t="shared" si="626"/>
        <v>4218931.3699999992</v>
      </c>
      <c r="AG340" s="26">
        <f t="shared" si="626"/>
        <v>8677000</v>
      </c>
      <c r="AH340" s="26">
        <f t="shared" si="626"/>
        <v>5300000</v>
      </c>
      <c r="AI340" s="26">
        <f t="shared" si="626"/>
        <v>36000</v>
      </c>
      <c r="AJ340" s="26">
        <f t="shared" si="626"/>
        <v>0</v>
      </c>
      <c r="AK340" s="26">
        <f t="shared" si="626"/>
        <v>0</v>
      </c>
      <c r="AL340" s="26">
        <f t="shared" si="626"/>
        <v>0</v>
      </c>
      <c r="AM340" s="26">
        <f t="shared" si="626"/>
        <v>0</v>
      </c>
      <c r="AN340" s="26">
        <f t="shared" si="626"/>
        <v>0</v>
      </c>
      <c r="AO340" s="67">
        <f t="shared" si="626"/>
        <v>8713000</v>
      </c>
      <c r="AP340" s="67">
        <f t="shared" si="626"/>
        <v>5300000</v>
      </c>
      <c r="AQ340" s="67">
        <f t="shared" si="626"/>
        <v>14013000</v>
      </c>
      <c r="AR340" s="26">
        <f t="shared" si="626"/>
        <v>-329.86</v>
      </c>
      <c r="AS340" s="26">
        <f t="shared" si="626"/>
        <v>0</v>
      </c>
      <c r="AT340" s="26">
        <f t="shared" si="626"/>
        <v>0</v>
      </c>
      <c r="AU340" s="26">
        <f t="shared" si="626"/>
        <v>0</v>
      </c>
      <c r="AV340" s="26">
        <f t="shared" si="626"/>
        <v>0</v>
      </c>
      <c r="AW340" s="26">
        <f t="shared" si="626"/>
        <v>18231601.509999998</v>
      </c>
      <c r="AX340" s="26" t="s">
        <v>48</v>
      </c>
      <c r="AY340" s="4">
        <v>18204468.670000002</v>
      </c>
      <c r="AZ340" s="4">
        <f t="shared" si="528"/>
        <v>27132.839999996126</v>
      </c>
    </row>
    <row r="341" spans="1:52" s="4" customFormat="1">
      <c r="A341" s="110"/>
      <c r="B341" s="151"/>
      <c r="C341" s="115"/>
      <c r="D341" s="28" t="s">
        <v>22</v>
      </c>
      <c r="E341" s="27"/>
      <c r="F341" s="29" t="s">
        <v>40</v>
      </c>
      <c r="G341" s="28"/>
      <c r="H341" s="30"/>
      <c r="I341" s="30"/>
      <c r="J341" s="30"/>
      <c r="K341" s="30"/>
      <c r="L341" s="30"/>
      <c r="M341" s="30">
        <f t="shared" si="110"/>
        <v>0</v>
      </c>
      <c r="N341" s="30"/>
      <c r="O341" s="30"/>
      <c r="P341" s="30">
        <v>30000</v>
      </c>
      <c r="Q341" s="30"/>
      <c r="R341" s="30"/>
      <c r="S341" s="30"/>
      <c r="T341" s="30">
        <f t="shared" ref="T341" si="627">SUM(P341:S341)</f>
        <v>30000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68">
        <f t="shared" ref="AD341:AD393" si="628">SUM(W341:Z341)</f>
        <v>0</v>
      </c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68">
        <f t="shared" si="597"/>
        <v>0</v>
      </c>
      <c r="AP341" s="68">
        <f t="shared" si="598"/>
        <v>0</v>
      </c>
      <c r="AQ341" s="68">
        <f t="shared" si="599"/>
        <v>0</v>
      </c>
      <c r="AR341" s="30"/>
      <c r="AS341" s="30"/>
      <c r="AT341" s="30"/>
      <c r="AU341" s="30"/>
      <c r="AV341" s="30"/>
      <c r="AW341" s="30">
        <f t="shared" si="600"/>
        <v>0</v>
      </c>
      <c r="AX341" s="30"/>
      <c r="AZ341" s="4">
        <f t="shared" si="528"/>
        <v>0</v>
      </c>
    </row>
    <row r="342" spans="1:52" s="5" customFormat="1" ht="30">
      <c r="A342" s="143" t="s">
        <v>123</v>
      </c>
      <c r="B342" s="111" t="s">
        <v>92</v>
      </c>
      <c r="C342" s="129">
        <v>67</v>
      </c>
      <c r="D342" s="7" t="s">
        <v>21</v>
      </c>
      <c r="E342" s="7">
        <v>42028901</v>
      </c>
      <c r="F342" s="8" t="s">
        <v>86</v>
      </c>
      <c r="G342" s="8" t="s">
        <v>93</v>
      </c>
      <c r="H342" s="9"/>
      <c r="I342" s="9"/>
      <c r="J342" s="9"/>
      <c r="K342" s="9"/>
      <c r="L342" s="9"/>
      <c r="M342" s="9">
        <f t="shared" ref="M342:M344" si="629">SUM(I342:L342)</f>
        <v>0</v>
      </c>
      <c r="N342" s="9"/>
      <c r="O342" s="9">
        <f>H342+N342</f>
        <v>0</v>
      </c>
      <c r="P342" s="9"/>
      <c r="Q342" s="9"/>
      <c r="R342" s="9">
        <v>1663000.0000000026</v>
      </c>
      <c r="S342" s="9"/>
      <c r="T342" s="9">
        <f>SUM(P342:S342)</f>
        <v>1663000.0000000026</v>
      </c>
      <c r="U342" s="9"/>
      <c r="V342" s="9">
        <f t="shared" ref="V342:V344" si="630">O342+U342</f>
        <v>0</v>
      </c>
      <c r="W342" s="9"/>
      <c r="X342" s="9">
        <v>1272000</v>
      </c>
      <c r="Y342" s="9">
        <v>141000</v>
      </c>
      <c r="Z342" s="9"/>
      <c r="AA342" s="9"/>
      <c r="AB342" s="9"/>
      <c r="AC342" s="9"/>
      <c r="AD342" s="66">
        <f t="shared" si="628"/>
        <v>1413000</v>
      </c>
      <c r="AE342" s="9">
        <v>1254723.8400000001</v>
      </c>
      <c r="AF342" s="9">
        <f t="shared" ref="AF342:AF344" si="631">V342+AE342</f>
        <v>1254723.8400000001</v>
      </c>
      <c r="AG342" s="9"/>
      <c r="AH342" s="9"/>
      <c r="AI342" s="9"/>
      <c r="AJ342" s="9"/>
      <c r="AK342" s="9"/>
      <c r="AL342" s="9"/>
      <c r="AM342" s="9"/>
      <c r="AN342" s="9"/>
      <c r="AO342" s="66">
        <f t="shared" si="597"/>
        <v>0</v>
      </c>
      <c r="AP342" s="66">
        <f t="shared" si="598"/>
        <v>0</v>
      </c>
      <c r="AQ342" s="66">
        <f t="shared" si="599"/>
        <v>0</v>
      </c>
      <c r="AR342" s="9"/>
      <c r="AS342" s="9"/>
      <c r="AT342" s="9"/>
      <c r="AU342" s="9"/>
      <c r="AV342" s="9"/>
      <c r="AW342" s="9">
        <f t="shared" si="600"/>
        <v>1254723.8400000001</v>
      </c>
      <c r="AX342" s="44" t="s">
        <v>79</v>
      </c>
      <c r="AY342" s="5">
        <v>39450620.882352948</v>
      </c>
      <c r="AZ342" s="5">
        <f t="shared" si="528"/>
        <v>-38195897.042352945</v>
      </c>
    </row>
    <row r="343" spans="1:52" s="5" customFormat="1" ht="30">
      <c r="A343" s="144"/>
      <c r="B343" s="112"/>
      <c r="C343" s="114"/>
      <c r="D343" s="7" t="s">
        <v>21</v>
      </c>
      <c r="E343" s="7">
        <v>42028902</v>
      </c>
      <c r="F343" s="8" t="s">
        <v>45</v>
      </c>
      <c r="G343" s="8" t="s">
        <v>93</v>
      </c>
      <c r="H343" s="9"/>
      <c r="I343" s="9"/>
      <c r="J343" s="9"/>
      <c r="K343" s="9"/>
      <c r="L343" s="9"/>
      <c r="M343" s="9">
        <f t="shared" si="629"/>
        <v>0</v>
      </c>
      <c r="N343" s="9"/>
      <c r="O343" s="9">
        <f t="shared" ref="O343:O344" si="632">H343+N343</f>
        <v>0</v>
      </c>
      <c r="P343" s="9"/>
      <c r="Q343" s="9"/>
      <c r="R343" s="9"/>
      <c r="S343" s="9"/>
      <c r="T343" s="9">
        <f t="shared" ref="T343:T344" si="633">SUM(P343:S343)</f>
        <v>0</v>
      </c>
      <c r="U343" s="9"/>
      <c r="V343" s="9">
        <f t="shared" si="630"/>
        <v>0</v>
      </c>
      <c r="W343" s="9"/>
      <c r="X343" s="9"/>
      <c r="Y343" s="9"/>
      <c r="Z343" s="9"/>
      <c r="AA343" s="9"/>
      <c r="AB343" s="9"/>
      <c r="AC343" s="9"/>
      <c r="AD343" s="66">
        <f t="shared" si="628"/>
        <v>0</v>
      </c>
      <c r="AE343" s="9"/>
      <c r="AF343" s="9">
        <f t="shared" si="631"/>
        <v>0</v>
      </c>
      <c r="AG343" s="9"/>
      <c r="AH343" s="9"/>
      <c r="AI343" s="9"/>
      <c r="AJ343" s="9"/>
      <c r="AK343" s="9"/>
      <c r="AL343" s="9"/>
      <c r="AM343" s="9"/>
      <c r="AN343" s="9"/>
      <c r="AO343" s="66">
        <f t="shared" si="597"/>
        <v>0</v>
      </c>
      <c r="AP343" s="66">
        <f t="shared" si="598"/>
        <v>0</v>
      </c>
      <c r="AQ343" s="66">
        <f t="shared" si="599"/>
        <v>0</v>
      </c>
      <c r="AR343" s="9"/>
      <c r="AS343" s="9"/>
      <c r="AT343" s="9"/>
      <c r="AU343" s="9"/>
      <c r="AV343" s="9"/>
      <c r="AW343" s="9">
        <f t="shared" si="600"/>
        <v>0</v>
      </c>
      <c r="AX343" s="44" t="s">
        <v>79</v>
      </c>
      <c r="AY343" s="5">
        <v>0</v>
      </c>
      <c r="AZ343" s="5">
        <f t="shared" si="528"/>
        <v>0</v>
      </c>
    </row>
    <row r="344" spans="1:52" s="5" customFormat="1" ht="30">
      <c r="A344" s="144"/>
      <c r="B344" s="112"/>
      <c r="C344" s="114"/>
      <c r="D344" s="7" t="s">
        <v>21</v>
      </c>
      <c r="E344" s="7">
        <v>42028903</v>
      </c>
      <c r="F344" s="8" t="s">
        <v>46</v>
      </c>
      <c r="G344" s="8" t="s">
        <v>93</v>
      </c>
      <c r="H344" s="9"/>
      <c r="I344" s="9"/>
      <c r="J344" s="9"/>
      <c r="K344" s="9"/>
      <c r="L344" s="9"/>
      <c r="M344" s="9">
        <f t="shared" si="629"/>
        <v>0</v>
      </c>
      <c r="N344" s="9"/>
      <c r="O344" s="9">
        <f t="shared" si="632"/>
        <v>0</v>
      </c>
      <c r="P344" s="9"/>
      <c r="Q344" s="9"/>
      <c r="R344" s="9">
        <v>316000.00000000035</v>
      </c>
      <c r="S344" s="9"/>
      <c r="T344" s="9">
        <f t="shared" si="633"/>
        <v>316000.00000000035</v>
      </c>
      <c r="U344" s="9"/>
      <c r="V344" s="9">
        <f t="shared" si="630"/>
        <v>0</v>
      </c>
      <c r="W344" s="9"/>
      <c r="X344" s="9">
        <v>242000</v>
      </c>
      <c r="Y344" s="9">
        <v>27000</v>
      </c>
      <c r="Z344" s="9"/>
      <c r="AA344" s="9"/>
      <c r="AB344" s="9"/>
      <c r="AC344" s="9"/>
      <c r="AD344" s="66">
        <f t="shared" si="628"/>
        <v>269000</v>
      </c>
      <c r="AE344" s="9">
        <v>238397.53</v>
      </c>
      <c r="AF344" s="9">
        <f t="shared" si="631"/>
        <v>238397.53</v>
      </c>
      <c r="AG344" s="9"/>
      <c r="AH344" s="9"/>
      <c r="AI344" s="9"/>
      <c r="AJ344" s="9"/>
      <c r="AK344" s="9"/>
      <c r="AL344" s="9"/>
      <c r="AM344" s="9"/>
      <c r="AN344" s="9"/>
      <c r="AO344" s="66">
        <f t="shared" si="597"/>
        <v>0</v>
      </c>
      <c r="AP344" s="66">
        <f t="shared" si="598"/>
        <v>0</v>
      </c>
      <c r="AQ344" s="66">
        <f t="shared" si="599"/>
        <v>0</v>
      </c>
      <c r="AR344" s="9"/>
      <c r="AS344" s="9"/>
      <c r="AT344" s="9"/>
      <c r="AU344" s="9"/>
      <c r="AV344" s="9"/>
      <c r="AW344" s="9">
        <f t="shared" si="600"/>
        <v>238397.53</v>
      </c>
      <c r="AX344" s="44" t="s">
        <v>79</v>
      </c>
      <c r="AY344" s="5">
        <v>7495617.967647058</v>
      </c>
      <c r="AZ344" s="5">
        <f t="shared" si="528"/>
        <v>-7257220.4376470577</v>
      </c>
    </row>
    <row r="345" spans="1:52" s="5" customFormat="1" ht="30">
      <c r="A345" s="144"/>
      <c r="B345" s="112"/>
      <c r="C345" s="114"/>
      <c r="D345" s="7" t="s">
        <v>21</v>
      </c>
      <c r="E345" s="7"/>
      <c r="F345" s="7" t="s">
        <v>19</v>
      </c>
      <c r="G345" s="8" t="s">
        <v>93</v>
      </c>
      <c r="H345" s="9">
        <f>H350-H342-H343-H344</f>
        <v>0</v>
      </c>
      <c r="I345" s="9">
        <f t="shared" ref="I345:S345" si="634">I350-I342-I343-I344</f>
        <v>0</v>
      </c>
      <c r="J345" s="9">
        <f t="shared" si="634"/>
        <v>0</v>
      </c>
      <c r="K345" s="9">
        <f t="shared" si="634"/>
        <v>0</v>
      </c>
      <c r="L345" s="9">
        <f t="shared" si="634"/>
        <v>0</v>
      </c>
      <c r="M345" s="9">
        <f t="shared" si="634"/>
        <v>0</v>
      </c>
      <c r="N345" s="9">
        <f t="shared" si="634"/>
        <v>0</v>
      </c>
      <c r="O345" s="9">
        <f t="shared" si="634"/>
        <v>0</v>
      </c>
      <c r="P345" s="9">
        <f t="shared" si="634"/>
        <v>0</v>
      </c>
      <c r="Q345" s="9">
        <f t="shared" si="634"/>
        <v>0</v>
      </c>
      <c r="R345" s="9">
        <f t="shared" si="634"/>
        <v>0</v>
      </c>
      <c r="S345" s="9">
        <f t="shared" si="634"/>
        <v>0</v>
      </c>
      <c r="T345" s="9">
        <f>T350-T342-T343-T344</f>
        <v>0</v>
      </c>
      <c r="U345" s="9">
        <f t="shared" ref="U345" si="635">U350-U342-U343-U344</f>
        <v>0</v>
      </c>
      <c r="V345" s="9">
        <f>V350-V342-V343-V344</f>
        <v>0</v>
      </c>
      <c r="W345" s="9">
        <f t="shared" ref="W345:AD345" si="636">W350-W342-W343-W344</f>
        <v>0</v>
      </c>
      <c r="X345" s="9">
        <f t="shared" si="636"/>
        <v>0</v>
      </c>
      <c r="Y345" s="9">
        <f t="shared" si="636"/>
        <v>0</v>
      </c>
      <c r="Z345" s="9">
        <f t="shared" si="636"/>
        <v>0</v>
      </c>
      <c r="AA345" s="9"/>
      <c r="AB345" s="9"/>
      <c r="AC345" s="9"/>
      <c r="AD345" s="66">
        <f t="shared" si="636"/>
        <v>0</v>
      </c>
      <c r="AE345" s="9">
        <f t="shared" ref="AE345:AF345" si="637">AE350-AE342-AE343-AE344</f>
        <v>0</v>
      </c>
      <c r="AF345" s="9">
        <f t="shared" si="637"/>
        <v>0</v>
      </c>
      <c r="AG345" s="9">
        <f t="shared" ref="AG345:AW345" si="638">AG350-AG342-AG343-AG344</f>
        <v>0</v>
      </c>
      <c r="AH345" s="9">
        <f t="shared" si="638"/>
        <v>0</v>
      </c>
      <c r="AI345" s="9">
        <f t="shared" si="638"/>
        <v>0</v>
      </c>
      <c r="AJ345" s="9">
        <f t="shared" si="638"/>
        <v>0</v>
      </c>
      <c r="AK345" s="9">
        <f t="shared" si="638"/>
        <v>0</v>
      </c>
      <c r="AL345" s="9">
        <f t="shared" si="638"/>
        <v>0</v>
      </c>
      <c r="AM345" s="9">
        <f t="shared" si="638"/>
        <v>0</v>
      </c>
      <c r="AN345" s="9">
        <f t="shared" si="638"/>
        <v>0</v>
      </c>
      <c r="AO345" s="66">
        <f t="shared" si="638"/>
        <v>0</v>
      </c>
      <c r="AP345" s="66">
        <f t="shared" si="638"/>
        <v>0</v>
      </c>
      <c r="AQ345" s="66">
        <f t="shared" si="638"/>
        <v>0</v>
      </c>
      <c r="AR345" s="9">
        <f t="shared" si="638"/>
        <v>0</v>
      </c>
      <c r="AS345" s="9">
        <f t="shared" si="638"/>
        <v>0</v>
      </c>
      <c r="AT345" s="9">
        <f t="shared" si="638"/>
        <v>0</v>
      </c>
      <c r="AU345" s="9">
        <f t="shared" si="638"/>
        <v>0</v>
      </c>
      <c r="AV345" s="9">
        <f t="shared" si="638"/>
        <v>0</v>
      </c>
      <c r="AW345" s="9">
        <f t="shared" si="638"/>
        <v>0</v>
      </c>
      <c r="AX345" s="44" t="s">
        <v>79</v>
      </c>
      <c r="AY345" s="5">
        <v>0</v>
      </c>
      <c r="AZ345" s="5">
        <f t="shared" si="528"/>
        <v>0</v>
      </c>
    </row>
    <row r="346" spans="1:52" s="5" customFormat="1" ht="30">
      <c r="A346" s="144"/>
      <c r="B346" s="112"/>
      <c r="C346" s="114"/>
      <c r="D346" s="7" t="s">
        <v>21</v>
      </c>
      <c r="E346" s="7"/>
      <c r="F346" s="7" t="s">
        <v>47</v>
      </c>
      <c r="G346" s="8" t="s">
        <v>93</v>
      </c>
      <c r="H346" s="9">
        <f t="shared" ref="H346:M346" si="639">SUM(H342:H345)</f>
        <v>0</v>
      </c>
      <c r="I346" s="9">
        <f t="shared" si="639"/>
        <v>0</v>
      </c>
      <c r="J346" s="9">
        <f t="shared" si="639"/>
        <v>0</v>
      </c>
      <c r="K346" s="9">
        <f t="shared" si="639"/>
        <v>0</v>
      </c>
      <c r="L346" s="9">
        <f t="shared" si="639"/>
        <v>0</v>
      </c>
      <c r="M346" s="9">
        <f t="shared" si="639"/>
        <v>0</v>
      </c>
      <c r="N346" s="9">
        <f t="shared" ref="N346:S346" si="640">SUM(N342:N345)</f>
        <v>0</v>
      </c>
      <c r="O346" s="9">
        <f t="shared" si="640"/>
        <v>0</v>
      </c>
      <c r="P346" s="9">
        <f t="shared" si="640"/>
        <v>0</v>
      </c>
      <c r="Q346" s="9">
        <f t="shared" si="640"/>
        <v>0</v>
      </c>
      <c r="R346" s="9">
        <f t="shared" si="640"/>
        <v>1979000.0000000028</v>
      </c>
      <c r="S346" s="9">
        <f t="shared" si="640"/>
        <v>0</v>
      </c>
      <c r="T346" s="9">
        <f>SUM(T342:T345)</f>
        <v>1979000.0000000028</v>
      </c>
      <c r="U346" s="9">
        <f t="shared" ref="U346" si="641">SUM(U342:U345)</f>
        <v>0</v>
      </c>
      <c r="V346" s="9">
        <f>SUM(V342:V345)</f>
        <v>0</v>
      </c>
      <c r="W346" s="9">
        <f t="shared" ref="W346:AD346" si="642">SUM(W342:W345)</f>
        <v>0</v>
      </c>
      <c r="X346" s="9">
        <f t="shared" si="642"/>
        <v>1514000</v>
      </c>
      <c r="Y346" s="9">
        <f t="shared" si="642"/>
        <v>168000</v>
      </c>
      <c r="Z346" s="9">
        <f t="shared" si="642"/>
        <v>0</v>
      </c>
      <c r="AA346" s="9"/>
      <c r="AB346" s="9"/>
      <c r="AC346" s="9"/>
      <c r="AD346" s="66">
        <f t="shared" si="642"/>
        <v>1682000</v>
      </c>
      <c r="AE346" s="9">
        <f t="shared" ref="AE346:AF346" si="643">SUM(AE342:AE345)</f>
        <v>1493121.37</v>
      </c>
      <c r="AF346" s="9">
        <f t="shared" si="643"/>
        <v>1493121.37</v>
      </c>
      <c r="AG346" s="9">
        <f t="shared" ref="AG346:AW346" si="644">SUM(AG342:AG345)</f>
        <v>0</v>
      </c>
      <c r="AH346" s="9">
        <f t="shared" si="644"/>
        <v>0</v>
      </c>
      <c r="AI346" s="9">
        <f t="shared" si="644"/>
        <v>0</v>
      </c>
      <c r="AJ346" s="9">
        <f t="shared" si="644"/>
        <v>0</v>
      </c>
      <c r="AK346" s="9">
        <f t="shared" si="644"/>
        <v>0</v>
      </c>
      <c r="AL346" s="9">
        <f t="shared" si="644"/>
        <v>0</v>
      </c>
      <c r="AM346" s="9">
        <f t="shared" si="644"/>
        <v>0</v>
      </c>
      <c r="AN346" s="9">
        <f t="shared" si="644"/>
        <v>0</v>
      </c>
      <c r="AO346" s="66">
        <f t="shared" si="644"/>
        <v>0</v>
      </c>
      <c r="AP346" s="66">
        <f t="shared" si="644"/>
        <v>0</v>
      </c>
      <c r="AQ346" s="66">
        <f t="shared" si="644"/>
        <v>0</v>
      </c>
      <c r="AR346" s="9">
        <f t="shared" si="644"/>
        <v>0</v>
      </c>
      <c r="AS346" s="9">
        <f t="shared" si="644"/>
        <v>0</v>
      </c>
      <c r="AT346" s="9">
        <f t="shared" si="644"/>
        <v>0</v>
      </c>
      <c r="AU346" s="9">
        <f t="shared" si="644"/>
        <v>0</v>
      </c>
      <c r="AV346" s="9">
        <f t="shared" si="644"/>
        <v>0</v>
      </c>
      <c r="AW346" s="9">
        <f t="shared" si="644"/>
        <v>1493121.37</v>
      </c>
      <c r="AX346" s="44" t="s">
        <v>79</v>
      </c>
      <c r="AY346" s="5">
        <v>46946238.850000009</v>
      </c>
      <c r="AZ346" s="5">
        <f t="shared" si="528"/>
        <v>-45453117.480000012</v>
      </c>
    </row>
    <row r="347" spans="1:52" s="4" customFormat="1" ht="30">
      <c r="A347" s="144"/>
      <c r="B347" s="112"/>
      <c r="C347" s="114"/>
      <c r="D347" s="25" t="s">
        <v>22</v>
      </c>
      <c r="E347" s="25">
        <v>6101</v>
      </c>
      <c r="F347" s="37" t="s">
        <v>85</v>
      </c>
      <c r="G347" s="37" t="s">
        <v>93</v>
      </c>
      <c r="H347" s="26"/>
      <c r="I347" s="26"/>
      <c r="J347" s="26"/>
      <c r="K347" s="26"/>
      <c r="L347" s="26"/>
      <c r="M347" s="26">
        <f t="shared" ref="M347:M349" si="645">SUM(I347:L347)</f>
        <v>0</v>
      </c>
      <c r="N347" s="26"/>
      <c r="O347" s="26">
        <f t="shared" ref="O347:O349" si="646">H347+N347</f>
        <v>0</v>
      </c>
      <c r="P347" s="26"/>
      <c r="Q347" s="26"/>
      <c r="R347" s="26">
        <f>1662250.42016807+749.579831932671</f>
        <v>1663000.0000000026</v>
      </c>
      <c r="S347" s="26"/>
      <c r="T347" s="26">
        <f>SUM(P347:S347)</f>
        <v>1663000.0000000026</v>
      </c>
      <c r="U347" s="26"/>
      <c r="V347" s="26">
        <f t="shared" ref="V347:V349" si="647">O347+U347</f>
        <v>0</v>
      </c>
      <c r="W347" s="26"/>
      <c r="X347" s="26">
        <f>1271176+824</f>
        <v>1272000</v>
      </c>
      <c r="Y347" s="26">
        <f>141242-824+582</f>
        <v>141000</v>
      </c>
      <c r="Z347" s="26"/>
      <c r="AA347" s="26"/>
      <c r="AB347" s="26"/>
      <c r="AC347" s="26"/>
      <c r="AD347" s="67">
        <f t="shared" si="628"/>
        <v>1413000</v>
      </c>
      <c r="AE347" s="26">
        <v>1254723.8400000001</v>
      </c>
      <c r="AF347" s="26">
        <f t="shared" ref="AF347:AF349" si="648">V347+AE347</f>
        <v>1254723.8400000001</v>
      </c>
      <c r="AG347" s="26"/>
      <c r="AH347" s="26"/>
      <c r="AI347" s="26"/>
      <c r="AJ347" s="26"/>
      <c r="AK347" s="26"/>
      <c r="AL347" s="26"/>
      <c r="AM347" s="26"/>
      <c r="AN347" s="26"/>
      <c r="AO347" s="67">
        <f t="shared" si="597"/>
        <v>0</v>
      </c>
      <c r="AP347" s="67">
        <f t="shared" si="598"/>
        <v>0</v>
      </c>
      <c r="AQ347" s="67">
        <f t="shared" si="599"/>
        <v>0</v>
      </c>
      <c r="AR347" s="26"/>
      <c r="AS347" s="26"/>
      <c r="AT347" s="26"/>
      <c r="AU347" s="26"/>
      <c r="AV347" s="26"/>
      <c r="AW347" s="26">
        <f t="shared" si="600"/>
        <v>1254723.8400000001</v>
      </c>
      <c r="AX347" s="57" t="s">
        <v>79</v>
      </c>
      <c r="AY347" s="4">
        <v>39450620.882352948</v>
      </c>
      <c r="AZ347" s="4">
        <f t="shared" si="528"/>
        <v>-38195897.042352945</v>
      </c>
    </row>
    <row r="348" spans="1:52" s="4" customFormat="1" ht="30">
      <c r="A348" s="144"/>
      <c r="B348" s="112"/>
      <c r="C348" s="114"/>
      <c r="D348" s="25" t="s">
        <v>22</v>
      </c>
      <c r="E348" s="25">
        <v>6102</v>
      </c>
      <c r="F348" s="37" t="s">
        <v>45</v>
      </c>
      <c r="G348" s="37" t="s">
        <v>93</v>
      </c>
      <c r="H348" s="26"/>
      <c r="I348" s="26"/>
      <c r="J348" s="26"/>
      <c r="K348" s="26"/>
      <c r="L348" s="26"/>
      <c r="M348" s="26">
        <f t="shared" si="645"/>
        <v>0</v>
      </c>
      <c r="N348" s="26"/>
      <c r="O348" s="26">
        <f t="shared" si="646"/>
        <v>0</v>
      </c>
      <c r="P348" s="26"/>
      <c r="Q348" s="26"/>
      <c r="R348" s="26"/>
      <c r="S348" s="26"/>
      <c r="T348" s="26">
        <f t="shared" ref="T348:T349" si="649">SUM(P348:S348)</f>
        <v>0</v>
      </c>
      <c r="U348" s="26"/>
      <c r="V348" s="26">
        <f t="shared" si="647"/>
        <v>0</v>
      </c>
      <c r="W348" s="26"/>
      <c r="X348" s="26"/>
      <c r="Y348" s="26"/>
      <c r="Z348" s="26"/>
      <c r="AA348" s="26"/>
      <c r="AB348" s="26"/>
      <c r="AC348" s="26"/>
      <c r="AD348" s="67">
        <f t="shared" si="628"/>
        <v>0</v>
      </c>
      <c r="AE348" s="26"/>
      <c r="AF348" s="26">
        <f t="shared" si="648"/>
        <v>0</v>
      </c>
      <c r="AG348" s="26"/>
      <c r="AH348" s="26"/>
      <c r="AI348" s="26"/>
      <c r="AJ348" s="26"/>
      <c r="AK348" s="26"/>
      <c r="AL348" s="26"/>
      <c r="AM348" s="26"/>
      <c r="AN348" s="26"/>
      <c r="AO348" s="67">
        <f t="shared" si="597"/>
        <v>0</v>
      </c>
      <c r="AP348" s="67">
        <f t="shared" si="598"/>
        <v>0</v>
      </c>
      <c r="AQ348" s="67">
        <f t="shared" si="599"/>
        <v>0</v>
      </c>
      <c r="AR348" s="26"/>
      <c r="AS348" s="26"/>
      <c r="AT348" s="26"/>
      <c r="AU348" s="26"/>
      <c r="AV348" s="26"/>
      <c r="AW348" s="26">
        <f t="shared" si="600"/>
        <v>0</v>
      </c>
      <c r="AX348" s="57" t="s">
        <v>79</v>
      </c>
      <c r="AY348" s="4">
        <v>0</v>
      </c>
      <c r="AZ348" s="4">
        <f t="shared" si="528"/>
        <v>0</v>
      </c>
    </row>
    <row r="349" spans="1:52" s="4" customFormat="1" ht="30">
      <c r="A349" s="144"/>
      <c r="B349" s="112"/>
      <c r="C349" s="114"/>
      <c r="D349" s="25" t="s">
        <v>22</v>
      </c>
      <c r="E349" s="25">
        <v>6103</v>
      </c>
      <c r="F349" s="37" t="s">
        <v>46</v>
      </c>
      <c r="G349" s="37" t="s">
        <v>93</v>
      </c>
      <c r="H349" s="26"/>
      <c r="I349" s="26"/>
      <c r="J349" s="26"/>
      <c r="K349" s="26"/>
      <c r="L349" s="26"/>
      <c r="M349" s="26">
        <f t="shared" si="645"/>
        <v>0</v>
      </c>
      <c r="N349" s="26"/>
      <c r="O349" s="26">
        <f t="shared" si="646"/>
        <v>0</v>
      </c>
      <c r="P349" s="26"/>
      <c r="Q349" s="26"/>
      <c r="R349" s="26">
        <f>315827.579831933+172.420168067328</f>
        <v>316000.00000000035</v>
      </c>
      <c r="S349" s="26"/>
      <c r="T349" s="26">
        <f t="shared" si="649"/>
        <v>316000.00000000035</v>
      </c>
      <c r="U349" s="26"/>
      <c r="V349" s="26">
        <f t="shared" si="647"/>
        <v>0</v>
      </c>
      <c r="W349" s="26"/>
      <c r="X349" s="26">
        <f>241523+477</f>
        <v>242000</v>
      </c>
      <c r="Y349" s="26">
        <f>26836-477+641</f>
        <v>27000</v>
      </c>
      <c r="Z349" s="26"/>
      <c r="AA349" s="26"/>
      <c r="AB349" s="26"/>
      <c r="AC349" s="26"/>
      <c r="AD349" s="67">
        <f t="shared" si="628"/>
        <v>269000</v>
      </c>
      <c r="AE349" s="26">
        <v>238397.53</v>
      </c>
      <c r="AF349" s="26">
        <f t="shared" si="648"/>
        <v>238397.53</v>
      </c>
      <c r="AG349" s="26"/>
      <c r="AH349" s="26"/>
      <c r="AI349" s="26"/>
      <c r="AJ349" s="26"/>
      <c r="AK349" s="26"/>
      <c r="AL349" s="26"/>
      <c r="AM349" s="26"/>
      <c r="AN349" s="26"/>
      <c r="AO349" s="67">
        <f t="shared" si="597"/>
        <v>0</v>
      </c>
      <c r="AP349" s="67">
        <f t="shared" si="598"/>
        <v>0</v>
      </c>
      <c r="AQ349" s="67">
        <f t="shared" si="599"/>
        <v>0</v>
      </c>
      <c r="AR349" s="26"/>
      <c r="AS349" s="26"/>
      <c r="AT349" s="26"/>
      <c r="AU349" s="26"/>
      <c r="AV349" s="26"/>
      <c r="AW349" s="26">
        <f t="shared" si="600"/>
        <v>238397.53</v>
      </c>
      <c r="AX349" s="57" t="s">
        <v>79</v>
      </c>
      <c r="AY349" s="4">
        <v>7495617.967647058</v>
      </c>
      <c r="AZ349" s="4">
        <f t="shared" si="528"/>
        <v>-7257220.4376470577</v>
      </c>
    </row>
    <row r="350" spans="1:52" s="4" customFormat="1" ht="30">
      <c r="A350" s="144"/>
      <c r="B350" s="112"/>
      <c r="C350" s="114"/>
      <c r="D350" s="25" t="s">
        <v>22</v>
      </c>
      <c r="E350" s="25"/>
      <c r="F350" s="25" t="s">
        <v>29</v>
      </c>
      <c r="G350" s="37" t="s">
        <v>93</v>
      </c>
      <c r="H350" s="26">
        <f>SUM(H347:H349)</f>
        <v>0</v>
      </c>
      <c r="I350" s="26">
        <f t="shared" ref="I350:S350" si="650">SUM(I347:I349)</f>
        <v>0</v>
      </c>
      <c r="J350" s="26">
        <f t="shared" si="650"/>
        <v>0</v>
      </c>
      <c r="K350" s="26">
        <f t="shared" si="650"/>
        <v>0</v>
      </c>
      <c r="L350" s="26">
        <f t="shared" si="650"/>
        <v>0</v>
      </c>
      <c r="M350" s="26">
        <f t="shared" si="650"/>
        <v>0</v>
      </c>
      <c r="N350" s="26">
        <f t="shared" si="650"/>
        <v>0</v>
      </c>
      <c r="O350" s="26">
        <f t="shared" si="650"/>
        <v>0</v>
      </c>
      <c r="P350" s="26">
        <f t="shared" si="650"/>
        <v>0</v>
      </c>
      <c r="Q350" s="26">
        <f t="shared" si="650"/>
        <v>0</v>
      </c>
      <c r="R350" s="26">
        <f t="shared" si="650"/>
        <v>1979000.0000000028</v>
      </c>
      <c r="S350" s="26">
        <f t="shared" si="650"/>
        <v>0</v>
      </c>
      <c r="T350" s="26">
        <f>SUM(T347:T349)</f>
        <v>1979000.0000000028</v>
      </c>
      <c r="U350" s="26">
        <f t="shared" ref="U350" si="651">SUM(U347:U349)</f>
        <v>0</v>
      </c>
      <c r="V350" s="26">
        <f>SUM(V347:V349)</f>
        <v>0</v>
      </c>
      <c r="W350" s="26">
        <f t="shared" ref="W350:AW350" si="652">SUM(W347:W349)</f>
        <v>0</v>
      </c>
      <c r="X350" s="26">
        <f t="shared" si="652"/>
        <v>1514000</v>
      </c>
      <c r="Y350" s="26">
        <f t="shared" si="652"/>
        <v>168000</v>
      </c>
      <c r="Z350" s="26">
        <f t="shared" si="652"/>
        <v>0</v>
      </c>
      <c r="AA350" s="26"/>
      <c r="AB350" s="26"/>
      <c r="AC350" s="26"/>
      <c r="AD350" s="67">
        <f t="shared" si="652"/>
        <v>1682000</v>
      </c>
      <c r="AE350" s="26">
        <f t="shared" si="652"/>
        <v>1493121.37</v>
      </c>
      <c r="AF350" s="26">
        <f t="shared" si="652"/>
        <v>1493121.37</v>
      </c>
      <c r="AG350" s="26">
        <f t="shared" si="652"/>
        <v>0</v>
      </c>
      <c r="AH350" s="26">
        <f t="shared" si="652"/>
        <v>0</v>
      </c>
      <c r="AI350" s="26">
        <f t="shared" si="652"/>
        <v>0</v>
      </c>
      <c r="AJ350" s="26">
        <f t="shared" si="652"/>
        <v>0</v>
      </c>
      <c r="AK350" s="26">
        <f t="shared" si="652"/>
        <v>0</v>
      </c>
      <c r="AL350" s="26">
        <f t="shared" si="652"/>
        <v>0</v>
      </c>
      <c r="AM350" s="26">
        <f t="shared" si="652"/>
        <v>0</v>
      </c>
      <c r="AN350" s="26">
        <f t="shared" si="652"/>
        <v>0</v>
      </c>
      <c r="AO350" s="67">
        <f t="shared" si="652"/>
        <v>0</v>
      </c>
      <c r="AP350" s="67">
        <f t="shared" si="652"/>
        <v>0</v>
      </c>
      <c r="AQ350" s="67">
        <f t="shared" si="652"/>
        <v>0</v>
      </c>
      <c r="AR350" s="26">
        <f t="shared" si="652"/>
        <v>0</v>
      </c>
      <c r="AS350" s="26">
        <f t="shared" si="652"/>
        <v>0</v>
      </c>
      <c r="AT350" s="26">
        <f t="shared" si="652"/>
        <v>0</v>
      </c>
      <c r="AU350" s="26">
        <f t="shared" si="652"/>
        <v>0</v>
      </c>
      <c r="AV350" s="26">
        <f t="shared" si="652"/>
        <v>0</v>
      </c>
      <c r="AW350" s="26">
        <f t="shared" si="652"/>
        <v>1493121.37</v>
      </c>
      <c r="AX350" s="57" t="s">
        <v>79</v>
      </c>
      <c r="AY350" s="4">
        <v>46946238.850000009</v>
      </c>
      <c r="AZ350" s="4">
        <f t="shared" si="528"/>
        <v>-45453117.480000012</v>
      </c>
    </row>
    <row r="351" spans="1:52" s="4" customFormat="1">
      <c r="A351" s="169"/>
      <c r="B351" s="126"/>
      <c r="C351" s="131"/>
      <c r="D351" s="28"/>
      <c r="E351" s="27"/>
      <c r="F351" s="29" t="s">
        <v>40</v>
      </c>
      <c r="G351" s="28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68"/>
      <c r="AE351" s="30"/>
      <c r="AF351" s="30"/>
      <c r="AG351" s="30">
        <v>200000</v>
      </c>
      <c r="AH351" s="30"/>
      <c r="AI351" s="30"/>
      <c r="AJ351" s="30"/>
      <c r="AK351" s="30"/>
      <c r="AL351" s="30"/>
      <c r="AM351" s="30"/>
      <c r="AN351" s="30"/>
      <c r="AO351" s="68">
        <f t="shared" ref="AO351" si="653">AG351+AI351+AK351+AM351</f>
        <v>200000</v>
      </c>
      <c r="AP351" s="68">
        <f t="shared" ref="AP351" si="654">AH351+AJ351+AL351+AN351</f>
        <v>0</v>
      </c>
      <c r="AQ351" s="68">
        <f t="shared" ref="AQ351" si="655">AO351+AP351</f>
        <v>200000</v>
      </c>
      <c r="AR351" s="30"/>
      <c r="AS351" s="30"/>
      <c r="AT351" s="30"/>
      <c r="AU351" s="30"/>
      <c r="AV351" s="30"/>
      <c r="AW351" s="30">
        <f t="shared" si="600"/>
        <v>200000</v>
      </c>
      <c r="AX351" s="30"/>
    </row>
    <row r="352" spans="1:52" s="35" customFormat="1">
      <c r="A352" s="38" t="s">
        <v>118</v>
      </c>
      <c r="B352" s="38"/>
      <c r="C352" s="32"/>
      <c r="D352" s="33"/>
      <c r="E352" s="33"/>
      <c r="F352" s="33"/>
      <c r="G352" s="31"/>
      <c r="H352" s="34"/>
      <c r="I352" s="34"/>
      <c r="J352" s="34"/>
      <c r="K352" s="34"/>
      <c r="L352" s="34"/>
      <c r="M352" s="39"/>
      <c r="N352" s="39"/>
      <c r="O352" s="39"/>
      <c r="P352" s="39"/>
      <c r="Q352" s="39"/>
      <c r="R352" s="39"/>
      <c r="S352" s="39"/>
      <c r="T352" s="34"/>
      <c r="U352" s="39"/>
      <c r="V352" s="39"/>
      <c r="W352" s="39"/>
      <c r="X352" s="39"/>
      <c r="Y352" s="39"/>
      <c r="Z352" s="39"/>
      <c r="AA352" s="39"/>
      <c r="AB352" s="39"/>
      <c r="AC352" s="39"/>
      <c r="AD352" s="69">
        <f t="shared" si="628"/>
        <v>0</v>
      </c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69">
        <f t="shared" si="597"/>
        <v>0</v>
      </c>
      <c r="AP352" s="69">
        <f t="shared" si="598"/>
        <v>0</v>
      </c>
      <c r="AQ352" s="69">
        <f t="shared" si="599"/>
        <v>0</v>
      </c>
      <c r="AR352" s="34"/>
      <c r="AS352" s="34"/>
      <c r="AT352" s="34"/>
      <c r="AU352" s="34"/>
      <c r="AV352" s="34"/>
      <c r="AW352" s="39">
        <f t="shared" si="600"/>
        <v>0</v>
      </c>
      <c r="AX352" s="31"/>
      <c r="AZ352" s="35">
        <f t="shared" si="528"/>
        <v>0</v>
      </c>
    </row>
    <row r="353" spans="1:52" s="5" customFormat="1" ht="105">
      <c r="A353" s="165" t="s">
        <v>119</v>
      </c>
      <c r="B353" s="133" t="s">
        <v>14</v>
      </c>
      <c r="C353" s="161">
        <v>68</v>
      </c>
      <c r="D353" s="8" t="s">
        <v>21</v>
      </c>
      <c r="E353" s="7">
        <v>42025102</v>
      </c>
      <c r="F353" s="8" t="s">
        <v>16</v>
      </c>
      <c r="G353" s="8" t="s">
        <v>18</v>
      </c>
      <c r="H353" s="9">
        <v>0</v>
      </c>
      <c r="I353" s="9">
        <v>2980000</v>
      </c>
      <c r="J353" s="9"/>
      <c r="K353" s="9"/>
      <c r="L353" s="9"/>
      <c r="M353" s="9">
        <f>SUM(I353:L353)</f>
        <v>2980000</v>
      </c>
      <c r="N353" s="9">
        <f>420245+1220423.4</f>
        <v>1640668.4</v>
      </c>
      <c r="O353" s="9">
        <f>H353+N353</f>
        <v>1640668.4</v>
      </c>
      <c r="P353" s="9">
        <f>3312000-O353+245+423.4</f>
        <v>1672000</v>
      </c>
      <c r="Q353" s="9"/>
      <c r="R353" s="9"/>
      <c r="S353" s="9"/>
      <c r="T353" s="9">
        <f t="shared" ref="T353:T355" si="656">SUM(P353:S353)</f>
        <v>1672000</v>
      </c>
      <c r="U353" s="9">
        <v>659331.6</v>
      </c>
      <c r="V353" s="9">
        <f t="shared" ref="V353" si="657">O353+U353</f>
        <v>2300000</v>
      </c>
      <c r="W353" s="9">
        <f>680800-800</f>
        <v>680000</v>
      </c>
      <c r="X353" s="9"/>
      <c r="Y353" s="9"/>
      <c r="Z353" s="9"/>
      <c r="AA353" s="9"/>
      <c r="AB353" s="9"/>
      <c r="AC353" s="9"/>
      <c r="AD353" s="66">
        <f t="shared" si="628"/>
        <v>680000</v>
      </c>
      <c r="AE353" s="44">
        <v>525507.56000000006</v>
      </c>
      <c r="AF353" s="9">
        <f t="shared" ref="AF353" si="658">V353+AE353</f>
        <v>2825507.56</v>
      </c>
      <c r="AG353" s="9"/>
      <c r="AH353" s="9"/>
      <c r="AI353" s="9"/>
      <c r="AJ353" s="9"/>
      <c r="AK353" s="9"/>
      <c r="AL353" s="9"/>
      <c r="AM353" s="9"/>
      <c r="AN353" s="9"/>
      <c r="AO353" s="66">
        <f t="shared" si="597"/>
        <v>0</v>
      </c>
      <c r="AP353" s="66">
        <f t="shared" si="598"/>
        <v>0</v>
      </c>
      <c r="AQ353" s="66">
        <f t="shared" si="599"/>
        <v>0</v>
      </c>
      <c r="AR353" s="9"/>
      <c r="AS353" s="9"/>
      <c r="AT353" s="9"/>
      <c r="AU353" s="9"/>
      <c r="AV353" s="9"/>
      <c r="AW353" s="9">
        <f t="shared" si="600"/>
        <v>2825507.56</v>
      </c>
      <c r="AX353" s="10" t="s">
        <v>20</v>
      </c>
      <c r="AY353" s="5">
        <v>3312000</v>
      </c>
      <c r="AZ353" s="5">
        <f t="shared" si="528"/>
        <v>-486492.43999999994</v>
      </c>
    </row>
    <row r="354" spans="1:52" s="5" customFormat="1">
      <c r="A354" s="165"/>
      <c r="B354" s="133"/>
      <c r="C354" s="161"/>
      <c r="D354" s="8" t="s">
        <v>21</v>
      </c>
      <c r="E354" s="7"/>
      <c r="F354" s="8" t="s">
        <v>19</v>
      </c>
      <c r="G354" s="8" t="s">
        <v>18</v>
      </c>
      <c r="H354" s="9">
        <f>H355-H353</f>
        <v>0</v>
      </c>
      <c r="I354" s="9">
        <v>332000</v>
      </c>
      <c r="J354" s="9"/>
      <c r="K354" s="9"/>
      <c r="L354" s="9"/>
      <c r="M354" s="9">
        <f t="shared" ref="M354:M355" si="659">SUM(I354:L354)</f>
        <v>332000</v>
      </c>
      <c r="N354" s="9">
        <f t="shared" ref="N354:S354" si="660">N355-N353</f>
        <v>254193.60000000009</v>
      </c>
      <c r="O354" s="9">
        <f t="shared" si="660"/>
        <v>254193.60000000009</v>
      </c>
      <c r="P354" s="9">
        <f t="shared" si="660"/>
        <v>318000</v>
      </c>
      <c r="Q354" s="9">
        <f t="shared" si="660"/>
        <v>0</v>
      </c>
      <c r="R354" s="9">
        <f t="shared" si="660"/>
        <v>0</v>
      </c>
      <c r="S354" s="9">
        <f t="shared" si="660"/>
        <v>0</v>
      </c>
      <c r="T354" s="9">
        <f>T355-T353</f>
        <v>318000</v>
      </c>
      <c r="U354" s="9">
        <f t="shared" ref="U354:AF354" si="661">U355-U353</f>
        <v>848601.2300000001</v>
      </c>
      <c r="V354" s="9">
        <f t="shared" si="661"/>
        <v>1102794.83</v>
      </c>
      <c r="W354" s="9">
        <f t="shared" si="661"/>
        <v>-243000</v>
      </c>
      <c r="X354" s="9">
        <f t="shared" si="661"/>
        <v>0</v>
      </c>
      <c r="Y354" s="9">
        <f t="shared" si="661"/>
        <v>0</v>
      </c>
      <c r="Z354" s="9">
        <f t="shared" si="661"/>
        <v>0</v>
      </c>
      <c r="AA354" s="9"/>
      <c r="AB354" s="9"/>
      <c r="AC354" s="9"/>
      <c r="AD354" s="66">
        <f t="shared" si="661"/>
        <v>-243000</v>
      </c>
      <c r="AE354" s="9">
        <f t="shared" si="661"/>
        <v>-270152.05000000005</v>
      </c>
      <c r="AF354" s="9">
        <f t="shared" si="661"/>
        <v>832642.7799999998</v>
      </c>
      <c r="AG354" s="9"/>
      <c r="AH354" s="9"/>
      <c r="AI354" s="9"/>
      <c r="AJ354" s="9"/>
      <c r="AK354" s="9"/>
      <c r="AL354" s="9"/>
      <c r="AM354" s="9"/>
      <c r="AN354" s="9"/>
      <c r="AO354" s="66">
        <f t="shared" si="597"/>
        <v>0</v>
      </c>
      <c r="AP354" s="66">
        <f t="shared" si="598"/>
        <v>0</v>
      </c>
      <c r="AQ354" s="66">
        <f t="shared" si="599"/>
        <v>0</v>
      </c>
      <c r="AR354" s="9"/>
      <c r="AS354" s="9"/>
      <c r="AT354" s="9"/>
      <c r="AU354" s="9"/>
      <c r="AV354" s="9"/>
      <c r="AW354" s="9">
        <f t="shared" si="600"/>
        <v>832642.7799999998</v>
      </c>
      <c r="AX354" s="10" t="s">
        <v>20</v>
      </c>
      <c r="AY354" s="5">
        <v>572862</v>
      </c>
      <c r="AZ354" s="5">
        <f t="shared" si="528"/>
        <v>259780.7799999998</v>
      </c>
    </row>
    <row r="355" spans="1:52" s="4" customFormat="1" ht="30">
      <c r="A355" s="165"/>
      <c r="B355" s="133"/>
      <c r="C355" s="161"/>
      <c r="D355" s="37" t="s">
        <v>22</v>
      </c>
      <c r="E355" s="25">
        <v>71</v>
      </c>
      <c r="F355" s="37" t="s">
        <v>17</v>
      </c>
      <c r="G355" s="37" t="s">
        <v>18</v>
      </c>
      <c r="H355" s="26">
        <v>0</v>
      </c>
      <c r="I355" s="26">
        <f>SUM(I353:I354)</f>
        <v>3312000</v>
      </c>
      <c r="J355" s="26"/>
      <c r="K355" s="26"/>
      <c r="L355" s="26"/>
      <c r="M355" s="26">
        <f t="shared" si="659"/>
        <v>3312000</v>
      </c>
      <c r="N355" s="26">
        <v>1894862</v>
      </c>
      <c r="O355" s="26">
        <f t="shared" ref="O355" si="662">H355+N355</f>
        <v>1894862</v>
      </c>
      <c r="P355" s="26">
        <f>2022000-32000</f>
        <v>1990000</v>
      </c>
      <c r="Q355" s="26"/>
      <c r="R355" s="26"/>
      <c r="S355" s="26"/>
      <c r="T355" s="26">
        <f t="shared" si="656"/>
        <v>1990000</v>
      </c>
      <c r="U355" s="26">
        <v>1507932.83</v>
      </c>
      <c r="V355" s="26">
        <f t="shared" ref="V355" si="663">O355+U355</f>
        <v>3402794.83</v>
      </c>
      <c r="W355" s="26">
        <v>437000</v>
      </c>
      <c r="X355" s="26"/>
      <c r="Y355" s="26"/>
      <c r="Z355" s="26"/>
      <c r="AA355" s="26"/>
      <c r="AB355" s="26"/>
      <c r="AC355" s="26"/>
      <c r="AD355" s="67">
        <f t="shared" si="628"/>
        <v>437000</v>
      </c>
      <c r="AE355" s="26">
        <v>255355.51</v>
      </c>
      <c r="AF355" s="26">
        <f t="shared" ref="AF355" si="664">V355+AE355</f>
        <v>3658150.34</v>
      </c>
      <c r="AG355" s="26"/>
      <c r="AH355" s="26"/>
      <c r="AI355" s="26"/>
      <c r="AJ355" s="26"/>
      <c r="AK355" s="26"/>
      <c r="AL355" s="26"/>
      <c r="AM355" s="26"/>
      <c r="AN355" s="26"/>
      <c r="AO355" s="67">
        <f t="shared" si="597"/>
        <v>0</v>
      </c>
      <c r="AP355" s="67">
        <f t="shared" si="598"/>
        <v>0</v>
      </c>
      <c r="AQ355" s="67">
        <f t="shared" si="599"/>
        <v>0</v>
      </c>
      <c r="AR355" s="26"/>
      <c r="AS355" s="26"/>
      <c r="AT355" s="26"/>
      <c r="AU355" s="26"/>
      <c r="AV355" s="26"/>
      <c r="AW355" s="26">
        <f t="shared" si="600"/>
        <v>3658150.34</v>
      </c>
      <c r="AX355" s="14" t="s">
        <v>20</v>
      </c>
      <c r="AY355" s="4">
        <v>3884862</v>
      </c>
      <c r="AZ355" s="4">
        <f t="shared" si="528"/>
        <v>-226711.66000000015</v>
      </c>
    </row>
    <row r="356" spans="1:52" s="22" customFormat="1" ht="31.5">
      <c r="A356" s="45" t="s">
        <v>72</v>
      </c>
      <c r="B356" s="45"/>
      <c r="C356" s="18"/>
      <c r="D356" s="18"/>
      <c r="E356" s="19"/>
      <c r="F356" s="19"/>
      <c r="G356" s="17"/>
      <c r="H356" s="20"/>
      <c r="I356" s="20"/>
      <c r="J356" s="20"/>
      <c r="K356" s="20"/>
      <c r="L356" s="20"/>
      <c r="M356" s="46"/>
      <c r="N356" s="46"/>
      <c r="O356" s="46"/>
      <c r="P356" s="46"/>
      <c r="Q356" s="46"/>
      <c r="R356" s="46"/>
      <c r="S356" s="46"/>
      <c r="T356" s="20"/>
      <c r="U356" s="46"/>
      <c r="V356" s="46"/>
      <c r="W356" s="46"/>
      <c r="X356" s="46"/>
      <c r="Y356" s="46"/>
      <c r="Z356" s="46"/>
      <c r="AA356" s="46"/>
      <c r="AB356" s="46"/>
      <c r="AC356" s="46"/>
      <c r="AD356" s="65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65">
        <f t="shared" si="597"/>
        <v>0</v>
      </c>
      <c r="AP356" s="65">
        <f t="shared" si="598"/>
        <v>0</v>
      </c>
      <c r="AQ356" s="65">
        <f t="shared" si="599"/>
        <v>0</v>
      </c>
      <c r="AR356" s="20"/>
      <c r="AS356" s="20"/>
      <c r="AT356" s="20"/>
      <c r="AU356" s="20"/>
      <c r="AV356" s="20"/>
      <c r="AW356" s="46">
        <f t="shared" si="600"/>
        <v>0</v>
      </c>
      <c r="AX356" s="17"/>
    </row>
    <row r="357" spans="1:52" s="35" customFormat="1" ht="45">
      <c r="A357" s="47" t="s">
        <v>59</v>
      </c>
      <c r="B357" s="38"/>
      <c r="C357" s="32"/>
      <c r="D357" s="32"/>
      <c r="E357" s="33"/>
      <c r="F357" s="33"/>
      <c r="G357" s="31"/>
      <c r="H357" s="34"/>
      <c r="I357" s="34"/>
      <c r="J357" s="34"/>
      <c r="K357" s="34"/>
      <c r="L357" s="34"/>
      <c r="M357" s="39"/>
      <c r="N357" s="39"/>
      <c r="O357" s="39"/>
      <c r="P357" s="39"/>
      <c r="Q357" s="39"/>
      <c r="R357" s="39"/>
      <c r="S357" s="39"/>
      <c r="T357" s="34"/>
      <c r="U357" s="39"/>
      <c r="V357" s="39"/>
      <c r="W357" s="39"/>
      <c r="X357" s="39"/>
      <c r="Y357" s="39"/>
      <c r="Z357" s="39"/>
      <c r="AA357" s="39"/>
      <c r="AB357" s="39"/>
      <c r="AC357" s="39"/>
      <c r="AD357" s="69">
        <f t="shared" si="628"/>
        <v>0</v>
      </c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69">
        <f t="shared" si="597"/>
        <v>0</v>
      </c>
      <c r="AP357" s="69">
        <f t="shared" si="598"/>
        <v>0</v>
      </c>
      <c r="AQ357" s="69">
        <f t="shared" si="599"/>
        <v>0</v>
      </c>
      <c r="AR357" s="34"/>
      <c r="AS357" s="34"/>
      <c r="AT357" s="34"/>
      <c r="AU357" s="34"/>
      <c r="AV357" s="34"/>
      <c r="AW357" s="34">
        <f t="shared" si="600"/>
        <v>0</v>
      </c>
      <c r="AX357" s="31"/>
      <c r="AZ357" s="35">
        <f t="shared" si="528"/>
        <v>0</v>
      </c>
    </row>
    <row r="358" spans="1:52" s="5" customFormat="1">
      <c r="A358" s="143"/>
      <c r="B358" s="111"/>
      <c r="C358" s="129"/>
      <c r="D358" s="6"/>
      <c r="E358" s="7"/>
      <c r="F358" s="8"/>
      <c r="G358" s="7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66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66">
        <f t="shared" si="597"/>
        <v>0</v>
      </c>
      <c r="AP358" s="66">
        <f t="shared" si="598"/>
        <v>0</v>
      </c>
      <c r="AQ358" s="66">
        <f t="shared" si="599"/>
        <v>0</v>
      </c>
      <c r="AR358" s="9"/>
      <c r="AS358" s="9"/>
      <c r="AT358" s="9"/>
      <c r="AU358" s="9"/>
      <c r="AV358" s="9"/>
      <c r="AW358" s="9">
        <f t="shared" si="600"/>
        <v>0</v>
      </c>
      <c r="AX358" s="48"/>
    </row>
    <row r="359" spans="1:52" s="5" customFormat="1">
      <c r="A359" s="144"/>
      <c r="B359" s="112"/>
      <c r="C359" s="114"/>
      <c r="D359" s="6"/>
      <c r="E359" s="7"/>
      <c r="F359" s="7"/>
      <c r="G359" s="7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66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66">
        <f t="shared" si="597"/>
        <v>0</v>
      </c>
      <c r="AP359" s="66">
        <f t="shared" si="598"/>
        <v>0</v>
      </c>
      <c r="AQ359" s="66">
        <f t="shared" si="599"/>
        <v>0</v>
      </c>
      <c r="AR359" s="9"/>
      <c r="AS359" s="9"/>
      <c r="AT359" s="9"/>
      <c r="AU359" s="9"/>
      <c r="AV359" s="9"/>
      <c r="AW359" s="9">
        <f t="shared" si="600"/>
        <v>0</v>
      </c>
      <c r="AX359" s="48"/>
    </row>
    <row r="360" spans="1:52" s="5" customFormat="1">
      <c r="A360" s="144"/>
      <c r="B360" s="112"/>
      <c r="C360" s="114"/>
      <c r="D360" s="6"/>
      <c r="E360" s="7"/>
      <c r="F360" s="8"/>
      <c r="G360" s="7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66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66">
        <f t="shared" si="597"/>
        <v>0</v>
      </c>
      <c r="AP360" s="66">
        <f t="shared" si="598"/>
        <v>0</v>
      </c>
      <c r="AQ360" s="66">
        <f t="shared" si="599"/>
        <v>0</v>
      </c>
      <c r="AR360" s="9"/>
      <c r="AS360" s="9"/>
      <c r="AT360" s="9"/>
      <c r="AU360" s="9"/>
      <c r="AV360" s="9"/>
      <c r="AW360" s="9">
        <f t="shared" si="600"/>
        <v>0</v>
      </c>
      <c r="AX360" s="48"/>
    </row>
    <row r="361" spans="1:52" s="5" customFormat="1">
      <c r="A361" s="144"/>
      <c r="B361" s="112"/>
      <c r="C361" s="114"/>
      <c r="D361" s="6"/>
      <c r="E361" s="7"/>
      <c r="F361" s="7"/>
      <c r="G361" s="7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66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66">
        <f t="shared" si="597"/>
        <v>0</v>
      </c>
      <c r="AP361" s="66">
        <f t="shared" si="598"/>
        <v>0</v>
      </c>
      <c r="AQ361" s="66">
        <f t="shared" si="599"/>
        <v>0</v>
      </c>
      <c r="AR361" s="9"/>
      <c r="AS361" s="9"/>
      <c r="AT361" s="9"/>
      <c r="AU361" s="9"/>
      <c r="AV361" s="9"/>
      <c r="AW361" s="9">
        <f t="shared" si="600"/>
        <v>0</v>
      </c>
      <c r="AX361" s="48"/>
    </row>
    <row r="362" spans="1:52" s="4" customFormat="1">
      <c r="A362" s="144"/>
      <c r="B362" s="112"/>
      <c r="C362" s="114"/>
      <c r="D362" s="24"/>
      <c r="E362" s="25"/>
      <c r="F362" s="37"/>
      <c r="G362" s="25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67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67">
        <f t="shared" si="597"/>
        <v>0</v>
      </c>
      <c r="AP362" s="67">
        <f t="shared" si="598"/>
        <v>0</v>
      </c>
      <c r="AQ362" s="67">
        <f t="shared" si="599"/>
        <v>0</v>
      </c>
      <c r="AR362" s="26"/>
      <c r="AS362" s="26"/>
      <c r="AT362" s="26"/>
      <c r="AU362" s="26"/>
      <c r="AV362" s="26"/>
      <c r="AW362" s="26">
        <f t="shared" si="600"/>
        <v>0</v>
      </c>
      <c r="AX362" s="3"/>
    </row>
    <row r="363" spans="1:52" s="4" customFormat="1">
      <c r="A363" s="144"/>
      <c r="B363" s="112"/>
      <c r="C363" s="114"/>
      <c r="D363" s="24"/>
      <c r="E363" s="25"/>
      <c r="F363" s="37"/>
      <c r="G363" s="25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67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67">
        <f t="shared" si="597"/>
        <v>0</v>
      </c>
      <c r="AP363" s="67">
        <f t="shared" si="598"/>
        <v>0</v>
      </c>
      <c r="AQ363" s="67">
        <f t="shared" si="599"/>
        <v>0</v>
      </c>
      <c r="AR363" s="26"/>
      <c r="AS363" s="26"/>
      <c r="AT363" s="26"/>
      <c r="AU363" s="26"/>
      <c r="AV363" s="26"/>
      <c r="AW363" s="26">
        <f t="shared" si="600"/>
        <v>0</v>
      </c>
      <c r="AX363" s="3"/>
    </row>
    <row r="364" spans="1:52" s="4" customFormat="1">
      <c r="A364" s="145"/>
      <c r="B364" s="113"/>
      <c r="C364" s="115"/>
      <c r="D364" s="24"/>
      <c r="E364" s="25"/>
      <c r="F364" s="25"/>
      <c r="G364" s="25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67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67">
        <f t="shared" si="597"/>
        <v>0</v>
      </c>
      <c r="AP364" s="67">
        <f t="shared" si="598"/>
        <v>0</v>
      </c>
      <c r="AQ364" s="67">
        <f t="shared" si="599"/>
        <v>0</v>
      </c>
      <c r="AR364" s="26"/>
      <c r="AS364" s="26"/>
      <c r="AT364" s="26"/>
      <c r="AU364" s="26"/>
      <c r="AV364" s="26"/>
      <c r="AW364" s="26">
        <f t="shared" si="600"/>
        <v>0</v>
      </c>
      <c r="AX364" s="3"/>
    </row>
    <row r="365" spans="1:52" s="5" customFormat="1">
      <c r="A365" s="166"/>
      <c r="B365" s="133"/>
      <c r="C365" s="150"/>
      <c r="D365" s="6"/>
      <c r="E365" s="7"/>
      <c r="F365" s="8"/>
      <c r="G365" s="7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66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66">
        <f t="shared" si="597"/>
        <v>0</v>
      </c>
      <c r="AP365" s="66">
        <f t="shared" si="598"/>
        <v>0</v>
      </c>
      <c r="AQ365" s="66">
        <f t="shared" si="599"/>
        <v>0</v>
      </c>
      <c r="AR365" s="9"/>
      <c r="AS365" s="9"/>
      <c r="AT365" s="9"/>
      <c r="AU365" s="9"/>
      <c r="AV365" s="9"/>
      <c r="AW365" s="9">
        <f t="shared" si="600"/>
        <v>0</v>
      </c>
      <c r="AX365" s="48"/>
      <c r="AY365" s="11"/>
    </row>
    <row r="366" spans="1:52" s="5" customFormat="1">
      <c r="A366" s="166"/>
      <c r="B366" s="133"/>
      <c r="C366" s="150"/>
      <c r="D366" s="6"/>
      <c r="E366" s="7"/>
      <c r="F366" s="7"/>
      <c r="G366" s="7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66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66">
        <f t="shared" si="597"/>
        <v>0</v>
      </c>
      <c r="AP366" s="66">
        <f t="shared" si="598"/>
        <v>0</v>
      </c>
      <c r="AQ366" s="66">
        <f t="shared" si="599"/>
        <v>0</v>
      </c>
      <c r="AR366" s="9"/>
      <c r="AS366" s="9"/>
      <c r="AT366" s="9"/>
      <c r="AU366" s="9"/>
      <c r="AV366" s="9"/>
      <c r="AW366" s="9">
        <f t="shared" si="600"/>
        <v>0</v>
      </c>
      <c r="AX366" s="48"/>
    </row>
    <row r="367" spans="1:52" s="5" customFormat="1">
      <c r="A367" s="166"/>
      <c r="B367" s="133"/>
      <c r="C367" s="150"/>
      <c r="D367" s="6"/>
      <c r="E367" s="7"/>
      <c r="F367" s="8"/>
      <c r="G367" s="7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66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66">
        <f t="shared" si="597"/>
        <v>0</v>
      </c>
      <c r="AP367" s="66">
        <f t="shared" si="598"/>
        <v>0</v>
      </c>
      <c r="AQ367" s="66">
        <f t="shared" si="599"/>
        <v>0</v>
      </c>
      <c r="AR367" s="9"/>
      <c r="AS367" s="9"/>
      <c r="AT367" s="9"/>
      <c r="AU367" s="9"/>
      <c r="AV367" s="9"/>
      <c r="AW367" s="9">
        <f t="shared" si="600"/>
        <v>0</v>
      </c>
      <c r="AX367" s="48"/>
    </row>
    <row r="368" spans="1:52" s="5" customFormat="1">
      <c r="A368" s="166"/>
      <c r="B368" s="133"/>
      <c r="C368" s="150"/>
      <c r="D368" s="6"/>
      <c r="E368" s="7"/>
      <c r="F368" s="7"/>
      <c r="G368" s="7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66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66">
        <f t="shared" si="597"/>
        <v>0</v>
      </c>
      <c r="AP368" s="66">
        <f t="shared" si="598"/>
        <v>0</v>
      </c>
      <c r="AQ368" s="66">
        <f t="shared" si="599"/>
        <v>0</v>
      </c>
      <c r="AR368" s="9"/>
      <c r="AS368" s="9"/>
      <c r="AT368" s="9"/>
      <c r="AU368" s="9"/>
      <c r="AV368" s="9"/>
      <c r="AW368" s="9">
        <f t="shared" si="600"/>
        <v>0</v>
      </c>
      <c r="AX368" s="48"/>
    </row>
    <row r="369" spans="1:52" s="4" customFormat="1">
      <c r="A369" s="166"/>
      <c r="B369" s="133"/>
      <c r="C369" s="150"/>
      <c r="D369" s="24"/>
      <c r="E369" s="25"/>
      <c r="F369" s="37"/>
      <c r="G369" s="25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67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67">
        <f t="shared" si="597"/>
        <v>0</v>
      </c>
      <c r="AP369" s="67">
        <f t="shared" si="598"/>
        <v>0</v>
      </c>
      <c r="AQ369" s="67">
        <f t="shared" si="599"/>
        <v>0</v>
      </c>
      <c r="AR369" s="26"/>
      <c r="AS369" s="26"/>
      <c r="AT369" s="26"/>
      <c r="AU369" s="26"/>
      <c r="AV369" s="26"/>
      <c r="AW369" s="26">
        <f t="shared" si="600"/>
        <v>0</v>
      </c>
      <c r="AX369" s="3"/>
      <c r="AZ369" s="41"/>
    </row>
    <row r="370" spans="1:52" s="4" customFormat="1">
      <c r="A370" s="166"/>
      <c r="B370" s="133"/>
      <c r="C370" s="150"/>
      <c r="D370" s="24"/>
      <c r="E370" s="25"/>
      <c r="F370" s="37"/>
      <c r="G370" s="25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67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67">
        <f t="shared" si="597"/>
        <v>0</v>
      </c>
      <c r="AP370" s="67">
        <f t="shared" si="598"/>
        <v>0</v>
      </c>
      <c r="AQ370" s="67">
        <f t="shared" si="599"/>
        <v>0</v>
      </c>
      <c r="AR370" s="26"/>
      <c r="AS370" s="26"/>
      <c r="AT370" s="26"/>
      <c r="AU370" s="26"/>
      <c r="AV370" s="26"/>
      <c r="AW370" s="26">
        <f t="shared" si="600"/>
        <v>0</v>
      </c>
      <c r="AX370" s="3"/>
      <c r="AZ370" s="41"/>
    </row>
    <row r="371" spans="1:52" s="4" customFormat="1">
      <c r="A371" s="166"/>
      <c r="B371" s="133"/>
      <c r="C371" s="150"/>
      <c r="D371" s="24"/>
      <c r="E371" s="25"/>
      <c r="F371" s="25"/>
      <c r="G371" s="25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67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67">
        <f t="shared" si="597"/>
        <v>0</v>
      </c>
      <c r="AP371" s="67">
        <f t="shared" si="598"/>
        <v>0</v>
      </c>
      <c r="AQ371" s="67">
        <f t="shared" si="599"/>
        <v>0</v>
      </c>
      <c r="AR371" s="26"/>
      <c r="AS371" s="26"/>
      <c r="AT371" s="26"/>
      <c r="AU371" s="26"/>
      <c r="AV371" s="26"/>
      <c r="AW371" s="26">
        <f t="shared" si="600"/>
        <v>0</v>
      </c>
      <c r="AX371" s="3"/>
    </row>
    <row r="372" spans="1:52" s="35" customFormat="1">
      <c r="A372" s="38" t="s">
        <v>120</v>
      </c>
      <c r="B372" s="38"/>
      <c r="C372" s="32"/>
      <c r="D372" s="33"/>
      <c r="E372" s="33"/>
      <c r="F372" s="33"/>
      <c r="G372" s="31"/>
      <c r="H372" s="34"/>
      <c r="I372" s="34"/>
      <c r="J372" s="34"/>
      <c r="K372" s="34"/>
      <c r="L372" s="34"/>
      <c r="M372" s="39"/>
      <c r="N372" s="39"/>
      <c r="O372" s="39"/>
      <c r="P372" s="39"/>
      <c r="Q372" s="39"/>
      <c r="R372" s="39"/>
      <c r="S372" s="39"/>
      <c r="T372" s="34"/>
      <c r="U372" s="39"/>
      <c r="V372" s="39"/>
      <c r="W372" s="39"/>
      <c r="X372" s="39"/>
      <c r="Y372" s="39"/>
      <c r="Z372" s="39"/>
      <c r="AA372" s="39"/>
      <c r="AB372" s="39"/>
      <c r="AC372" s="39"/>
      <c r="AD372" s="69">
        <f t="shared" si="628"/>
        <v>0</v>
      </c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69">
        <f t="shared" si="597"/>
        <v>0</v>
      </c>
      <c r="AP372" s="69">
        <f t="shared" si="598"/>
        <v>0</v>
      </c>
      <c r="AQ372" s="69">
        <f t="shared" si="599"/>
        <v>0</v>
      </c>
      <c r="AR372" s="34"/>
      <c r="AS372" s="34"/>
      <c r="AT372" s="34"/>
      <c r="AU372" s="34"/>
      <c r="AV372" s="34"/>
      <c r="AW372" s="39">
        <f t="shared" si="600"/>
        <v>0</v>
      </c>
      <c r="AX372" s="34"/>
      <c r="AZ372" s="35">
        <f t="shared" ref="AZ372:AZ457" si="665">AW372-AY372</f>
        <v>0</v>
      </c>
    </row>
    <row r="373" spans="1:52" s="5" customFormat="1" ht="44.25" customHeight="1">
      <c r="A373" s="168" t="s">
        <v>268</v>
      </c>
      <c r="B373" s="133" t="s">
        <v>51</v>
      </c>
      <c r="C373" s="150">
        <v>51</v>
      </c>
      <c r="D373" s="7" t="s">
        <v>21</v>
      </c>
      <c r="E373" s="7" t="s">
        <v>94</v>
      </c>
      <c r="F373" s="8" t="s">
        <v>60</v>
      </c>
      <c r="G373" s="7">
        <v>101087022</v>
      </c>
      <c r="H373" s="9"/>
      <c r="I373" s="9">
        <v>1231000</v>
      </c>
      <c r="J373" s="9"/>
      <c r="K373" s="9"/>
      <c r="L373" s="9"/>
      <c r="M373" s="9">
        <f t="shared" ref="M373:M374" si="666">SUM(I373:L373)</f>
        <v>1231000</v>
      </c>
      <c r="N373" s="9">
        <v>107154.05</v>
      </c>
      <c r="O373" s="9">
        <f>H373+N373</f>
        <v>107154.05</v>
      </c>
      <c r="P373" s="9">
        <v>200000</v>
      </c>
      <c r="Q373" s="9"/>
      <c r="R373" s="9"/>
      <c r="S373" s="9"/>
      <c r="T373" s="9">
        <f>SUM(P373:S373)</f>
        <v>200000</v>
      </c>
      <c r="U373" s="9">
        <v>9208.73</v>
      </c>
      <c r="V373" s="9">
        <f t="shared" ref="V373:V374" si="667">O373+U373</f>
        <v>116362.78</v>
      </c>
      <c r="W373" s="9">
        <v>500000</v>
      </c>
      <c r="X373" s="9"/>
      <c r="Y373" s="9"/>
      <c r="Z373" s="9"/>
      <c r="AA373" s="9"/>
      <c r="AB373" s="9"/>
      <c r="AC373" s="9"/>
      <c r="AD373" s="66">
        <f t="shared" si="628"/>
        <v>500000</v>
      </c>
      <c r="AE373" s="9">
        <v>93763.72</v>
      </c>
      <c r="AF373" s="9">
        <f t="shared" ref="AF373:AF374" si="668">V373+AE373</f>
        <v>210126.5</v>
      </c>
      <c r="AG373" s="9">
        <f>1020873.55+126.45</f>
        <v>1021000</v>
      </c>
      <c r="AH373" s="9"/>
      <c r="AI373" s="9"/>
      <c r="AJ373" s="9"/>
      <c r="AK373" s="9"/>
      <c r="AL373" s="9"/>
      <c r="AM373" s="9"/>
      <c r="AN373" s="9"/>
      <c r="AO373" s="66">
        <f t="shared" si="597"/>
        <v>1021000</v>
      </c>
      <c r="AP373" s="66">
        <f t="shared" si="598"/>
        <v>0</v>
      </c>
      <c r="AQ373" s="66">
        <f t="shared" si="599"/>
        <v>1021000</v>
      </c>
      <c r="AR373" s="9">
        <v>-126.45</v>
      </c>
      <c r="AS373" s="9"/>
      <c r="AT373" s="9"/>
      <c r="AU373" s="9"/>
      <c r="AV373" s="9"/>
      <c r="AW373" s="9">
        <f t="shared" si="600"/>
        <v>1231000.05</v>
      </c>
      <c r="AX373" s="44" t="s">
        <v>53</v>
      </c>
      <c r="AY373" s="5">
        <v>1231000.05</v>
      </c>
      <c r="AZ373" s="5">
        <f t="shared" si="665"/>
        <v>0</v>
      </c>
    </row>
    <row r="374" spans="1:52" s="4" customFormat="1" ht="79.5" customHeight="1">
      <c r="A374" s="168"/>
      <c r="B374" s="133"/>
      <c r="C374" s="150"/>
      <c r="D374" s="25" t="s">
        <v>22</v>
      </c>
      <c r="E374" s="25">
        <v>567202</v>
      </c>
      <c r="F374" s="37" t="s">
        <v>95</v>
      </c>
      <c r="G374" s="25">
        <v>101087022</v>
      </c>
      <c r="H374" s="26"/>
      <c r="I374" s="26">
        <v>1231000</v>
      </c>
      <c r="J374" s="26"/>
      <c r="K374" s="26"/>
      <c r="L374" s="26"/>
      <c r="M374" s="26">
        <f t="shared" si="666"/>
        <v>1231000</v>
      </c>
      <c r="N374" s="26">
        <v>107154.05</v>
      </c>
      <c r="O374" s="26">
        <f>H374+N374</f>
        <v>107154.05</v>
      </c>
      <c r="P374" s="26">
        <v>50000</v>
      </c>
      <c r="Q374" s="26">
        <v>50000</v>
      </c>
      <c r="R374" s="26">
        <v>50000</v>
      </c>
      <c r="S374" s="26">
        <v>50000</v>
      </c>
      <c r="T374" s="26">
        <f>SUM(P374:S374)</f>
        <v>200000</v>
      </c>
      <c r="U374" s="26">
        <v>9208.73</v>
      </c>
      <c r="V374" s="26">
        <f t="shared" si="667"/>
        <v>116362.78</v>
      </c>
      <c r="W374" s="26">
        <v>500000</v>
      </c>
      <c r="X374" s="26"/>
      <c r="Y374" s="26"/>
      <c r="Z374" s="26"/>
      <c r="AA374" s="26"/>
      <c r="AB374" s="26"/>
      <c r="AC374" s="26"/>
      <c r="AD374" s="67">
        <f t="shared" si="628"/>
        <v>500000</v>
      </c>
      <c r="AE374" s="26">
        <v>93763.72</v>
      </c>
      <c r="AF374" s="26">
        <f t="shared" si="668"/>
        <v>210126.5</v>
      </c>
      <c r="AG374" s="26">
        <f>1020873.5+126.5</f>
        <v>1021000</v>
      </c>
      <c r="AH374" s="26"/>
      <c r="AI374" s="26"/>
      <c r="AJ374" s="26"/>
      <c r="AK374" s="26"/>
      <c r="AL374" s="26"/>
      <c r="AM374" s="26"/>
      <c r="AN374" s="26"/>
      <c r="AO374" s="67">
        <f t="shared" si="597"/>
        <v>1021000</v>
      </c>
      <c r="AP374" s="67">
        <f t="shared" si="598"/>
        <v>0</v>
      </c>
      <c r="AQ374" s="67">
        <f t="shared" si="599"/>
        <v>1021000</v>
      </c>
      <c r="AR374" s="26">
        <v>-126.5</v>
      </c>
      <c r="AS374" s="26"/>
      <c r="AT374" s="26"/>
      <c r="AU374" s="26"/>
      <c r="AV374" s="26"/>
      <c r="AW374" s="26">
        <f t="shared" si="600"/>
        <v>1231000</v>
      </c>
      <c r="AX374" s="57" t="s">
        <v>53</v>
      </c>
      <c r="AY374" s="4">
        <v>1231000</v>
      </c>
      <c r="AZ374" s="4">
        <f t="shared" si="665"/>
        <v>0</v>
      </c>
    </row>
    <row r="375" spans="1:52" s="22" customFormat="1" ht="31.5">
      <c r="A375" s="45" t="s">
        <v>73</v>
      </c>
      <c r="B375" s="45"/>
      <c r="C375" s="18"/>
      <c r="D375" s="18"/>
      <c r="E375" s="19"/>
      <c r="F375" s="19"/>
      <c r="G375" s="17"/>
      <c r="H375" s="20"/>
      <c r="I375" s="20"/>
      <c r="J375" s="20"/>
      <c r="K375" s="20"/>
      <c r="L375" s="20"/>
      <c r="M375" s="46"/>
      <c r="N375" s="46"/>
      <c r="O375" s="46"/>
      <c r="P375" s="46"/>
      <c r="Q375" s="46"/>
      <c r="R375" s="46"/>
      <c r="S375" s="46"/>
      <c r="T375" s="20"/>
      <c r="U375" s="46"/>
      <c r="V375" s="46"/>
      <c r="W375" s="46"/>
      <c r="X375" s="46"/>
      <c r="Y375" s="46"/>
      <c r="Z375" s="46"/>
      <c r="AA375" s="46"/>
      <c r="AB375" s="46"/>
      <c r="AC375" s="46"/>
      <c r="AD375" s="65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65">
        <f t="shared" si="597"/>
        <v>0</v>
      </c>
      <c r="AP375" s="65">
        <f t="shared" si="598"/>
        <v>0</v>
      </c>
      <c r="AQ375" s="65">
        <f t="shared" si="599"/>
        <v>0</v>
      </c>
      <c r="AR375" s="20"/>
      <c r="AS375" s="20"/>
      <c r="AT375" s="20"/>
      <c r="AU375" s="20"/>
      <c r="AV375" s="20"/>
      <c r="AW375" s="46">
        <f t="shared" si="600"/>
        <v>0</v>
      </c>
      <c r="AX375" s="17"/>
      <c r="AZ375" s="22">
        <f t="shared" si="665"/>
        <v>0</v>
      </c>
    </row>
    <row r="376" spans="1:52">
      <c r="A376" s="38" t="s">
        <v>58</v>
      </c>
      <c r="B376" s="13"/>
      <c r="C376" s="56"/>
      <c r="D376" s="56"/>
      <c r="E376" s="55"/>
      <c r="F376" s="55"/>
      <c r="G376" s="1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71">
        <f t="shared" si="628"/>
        <v>0</v>
      </c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71">
        <f t="shared" si="597"/>
        <v>0</v>
      </c>
      <c r="AP376" s="71">
        <f t="shared" si="598"/>
        <v>0</v>
      </c>
      <c r="AQ376" s="71">
        <f t="shared" si="599"/>
        <v>0</v>
      </c>
      <c r="AR376" s="39"/>
      <c r="AS376" s="39"/>
      <c r="AT376" s="39"/>
      <c r="AU376" s="39"/>
      <c r="AV376" s="39"/>
      <c r="AW376" s="39">
        <f t="shared" si="600"/>
        <v>0</v>
      </c>
      <c r="AX376" s="1"/>
      <c r="AZ376" s="2">
        <f t="shared" si="665"/>
        <v>0</v>
      </c>
    </row>
    <row r="377" spans="1:52">
      <c r="A377" s="143"/>
      <c r="B377" s="138"/>
      <c r="C377" s="129"/>
      <c r="D377" s="6"/>
      <c r="E377" s="7"/>
      <c r="F377" s="7"/>
      <c r="G377" s="6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66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66">
        <f t="shared" si="597"/>
        <v>0</v>
      </c>
      <c r="AP377" s="66">
        <f t="shared" si="598"/>
        <v>0</v>
      </c>
      <c r="AQ377" s="66">
        <f t="shared" si="599"/>
        <v>0</v>
      </c>
      <c r="AR377" s="9"/>
      <c r="AS377" s="9"/>
      <c r="AT377" s="9"/>
      <c r="AU377" s="9"/>
      <c r="AV377" s="9"/>
      <c r="AW377" s="9">
        <f t="shared" si="600"/>
        <v>0</v>
      </c>
      <c r="AX377" s="10"/>
    </row>
    <row r="378" spans="1:52" s="5" customFormat="1" ht="91.5" customHeight="1">
      <c r="A378" s="136"/>
      <c r="B378" s="162"/>
      <c r="C378" s="156"/>
      <c r="D378" s="6"/>
      <c r="E378" s="7"/>
      <c r="F378" s="8"/>
      <c r="G378" s="8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66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66">
        <f t="shared" si="597"/>
        <v>0</v>
      </c>
      <c r="AP378" s="66">
        <f t="shared" si="598"/>
        <v>0</v>
      </c>
      <c r="AQ378" s="66">
        <f t="shared" si="599"/>
        <v>0</v>
      </c>
      <c r="AR378" s="9"/>
      <c r="AS378" s="9"/>
      <c r="AT378" s="9"/>
      <c r="AU378" s="9"/>
      <c r="AV378" s="9"/>
      <c r="AW378" s="9">
        <f t="shared" si="600"/>
        <v>0</v>
      </c>
      <c r="AX378" s="10"/>
    </row>
    <row r="379" spans="1:52" s="5" customFormat="1">
      <c r="A379" s="136"/>
      <c r="B379" s="162"/>
      <c r="C379" s="156"/>
      <c r="D379" s="6"/>
      <c r="E379" s="7"/>
      <c r="F379" s="8"/>
      <c r="G379" s="8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66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66">
        <f t="shared" si="597"/>
        <v>0</v>
      </c>
      <c r="AP379" s="66">
        <f t="shared" si="598"/>
        <v>0</v>
      </c>
      <c r="AQ379" s="66">
        <f t="shared" si="599"/>
        <v>0</v>
      </c>
      <c r="AR379" s="9"/>
      <c r="AS379" s="9"/>
      <c r="AT379" s="9"/>
      <c r="AU379" s="9"/>
      <c r="AV379" s="9"/>
      <c r="AW379" s="9">
        <f t="shared" si="600"/>
        <v>0</v>
      </c>
      <c r="AX379" s="10"/>
    </row>
    <row r="380" spans="1:52" s="5" customFormat="1">
      <c r="A380" s="136"/>
      <c r="B380" s="162"/>
      <c r="C380" s="156"/>
      <c r="D380" s="6"/>
      <c r="E380" s="7"/>
      <c r="F380" s="8"/>
      <c r="G380" s="8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66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66">
        <f t="shared" si="597"/>
        <v>0</v>
      </c>
      <c r="AP380" s="66">
        <f t="shared" si="598"/>
        <v>0</v>
      </c>
      <c r="AQ380" s="66">
        <f t="shared" si="599"/>
        <v>0</v>
      </c>
      <c r="AR380" s="9"/>
      <c r="AS380" s="9"/>
      <c r="AT380" s="9"/>
      <c r="AU380" s="9"/>
      <c r="AV380" s="9"/>
      <c r="AW380" s="9">
        <f t="shared" si="600"/>
        <v>0</v>
      </c>
      <c r="AX380" s="10"/>
    </row>
    <row r="381" spans="1:52" s="5" customFormat="1" ht="21.75" customHeight="1">
      <c r="A381" s="136"/>
      <c r="B381" s="162"/>
      <c r="C381" s="156"/>
      <c r="D381" s="6"/>
      <c r="E381" s="7"/>
      <c r="F381" s="8"/>
      <c r="G381" s="8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66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66">
        <f t="shared" si="597"/>
        <v>0</v>
      </c>
      <c r="AP381" s="66">
        <f t="shared" si="598"/>
        <v>0</v>
      </c>
      <c r="AQ381" s="66">
        <f t="shared" si="599"/>
        <v>0</v>
      </c>
      <c r="AR381" s="9"/>
      <c r="AS381" s="9"/>
      <c r="AT381" s="9"/>
      <c r="AU381" s="9"/>
      <c r="AV381" s="9"/>
      <c r="AW381" s="9">
        <f t="shared" si="600"/>
        <v>0</v>
      </c>
      <c r="AX381" s="10"/>
    </row>
    <row r="382" spans="1:52" s="4" customFormat="1" ht="21.75" customHeight="1">
      <c r="A382" s="136"/>
      <c r="B382" s="162"/>
      <c r="C382" s="156"/>
      <c r="D382" s="24"/>
      <c r="E382" s="25"/>
      <c r="F382" s="37"/>
      <c r="G382" s="37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67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67">
        <f t="shared" si="597"/>
        <v>0</v>
      </c>
      <c r="AP382" s="67">
        <f t="shared" si="598"/>
        <v>0</v>
      </c>
      <c r="AQ382" s="67">
        <f t="shared" si="599"/>
        <v>0</v>
      </c>
      <c r="AR382" s="26"/>
      <c r="AS382" s="26"/>
      <c r="AT382" s="26"/>
      <c r="AU382" s="26"/>
      <c r="AV382" s="26"/>
      <c r="AW382" s="26">
        <f t="shared" si="600"/>
        <v>0</v>
      </c>
      <c r="AX382" s="14"/>
    </row>
    <row r="383" spans="1:52" s="4" customFormat="1">
      <c r="A383" s="136"/>
      <c r="B383" s="162"/>
      <c r="C383" s="156"/>
      <c r="D383" s="24"/>
      <c r="E383" s="25"/>
      <c r="F383" s="37"/>
      <c r="G383" s="37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67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67">
        <f t="shared" si="597"/>
        <v>0</v>
      </c>
      <c r="AP383" s="67">
        <f t="shared" si="598"/>
        <v>0</v>
      </c>
      <c r="AQ383" s="67">
        <f t="shared" si="599"/>
        <v>0</v>
      </c>
      <c r="AR383" s="26"/>
      <c r="AS383" s="26"/>
      <c r="AT383" s="26"/>
      <c r="AU383" s="26"/>
      <c r="AV383" s="26"/>
      <c r="AW383" s="26">
        <f t="shared" si="600"/>
        <v>0</v>
      </c>
      <c r="AX383" s="14"/>
    </row>
    <row r="384" spans="1:52" s="4" customFormat="1" ht="21.75" customHeight="1">
      <c r="A384" s="136"/>
      <c r="B384" s="162"/>
      <c r="C384" s="156"/>
      <c r="D384" s="24"/>
      <c r="E384" s="25"/>
      <c r="F384" s="37"/>
      <c r="G384" s="37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67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67">
        <f t="shared" si="597"/>
        <v>0</v>
      </c>
      <c r="AP384" s="67">
        <f t="shared" si="598"/>
        <v>0</v>
      </c>
      <c r="AQ384" s="67">
        <f t="shared" si="599"/>
        <v>0</v>
      </c>
      <c r="AR384" s="26"/>
      <c r="AS384" s="26"/>
      <c r="AT384" s="26"/>
      <c r="AU384" s="26"/>
      <c r="AV384" s="26"/>
      <c r="AW384" s="26">
        <f t="shared" si="600"/>
        <v>0</v>
      </c>
      <c r="AX384" s="14"/>
      <c r="AZ384" s="41"/>
    </row>
    <row r="385" spans="1:52" s="4" customFormat="1" ht="21.75" customHeight="1">
      <c r="A385" s="137"/>
      <c r="B385" s="163"/>
      <c r="C385" s="157"/>
      <c r="D385" s="24"/>
      <c r="E385" s="25"/>
      <c r="F385" s="25"/>
      <c r="G385" s="37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67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67">
        <f t="shared" si="597"/>
        <v>0</v>
      </c>
      <c r="AP385" s="67">
        <f t="shared" si="598"/>
        <v>0</v>
      </c>
      <c r="AQ385" s="67">
        <f t="shared" si="599"/>
        <v>0</v>
      </c>
      <c r="AR385" s="26"/>
      <c r="AS385" s="26"/>
      <c r="AT385" s="26"/>
      <c r="AU385" s="26"/>
      <c r="AV385" s="26"/>
      <c r="AW385" s="26">
        <f t="shared" si="600"/>
        <v>0</v>
      </c>
      <c r="AX385" s="14"/>
    </row>
    <row r="386" spans="1:52">
      <c r="A386" s="38" t="s">
        <v>131</v>
      </c>
      <c r="B386" s="13"/>
      <c r="C386" s="56"/>
      <c r="D386" s="56"/>
      <c r="E386" s="55"/>
      <c r="F386" s="55"/>
      <c r="G386" s="1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71">
        <f t="shared" si="628"/>
        <v>0</v>
      </c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71">
        <f t="shared" si="597"/>
        <v>0</v>
      </c>
      <c r="AP386" s="71">
        <f t="shared" si="598"/>
        <v>0</v>
      </c>
      <c r="AQ386" s="71">
        <f t="shared" si="599"/>
        <v>0</v>
      </c>
      <c r="AR386" s="39"/>
      <c r="AS386" s="39"/>
      <c r="AT386" s="39"/>
      <c r="AU386" s="39"/>
      <c r="AV386" s="39"/>
      <c r="AW386" s="39">
        <f t="shared" si="600"/>
        <v>0</v>
      </c>
      <c r="AX386" s="1"/>
      <c r="AZ386" s="2">
        <f t="shared" si="665"/>
        <v>0</v>
      </c>
    </row>
    <row r="387" spans="1:52" s="5" customFormat="1" ht="91.5" customHeight="1">
      <c r="A387" s="143" t="s">
        <v>133</v>
      </c>
      <c r="B387" s="138" t="s">
        <v>23</v>
      </c>
      <c r="C387" s="129">
        <v>66</v>
      </c>
      <c r="D387" s="6" t="s">
        <v>21</v>
      </c>
      <c r="E387" s="7">
        <v>431014</v>
      </c>
      <c r="F387" s="8" t="s">
        <v>83</v>
      </c>
      <c r="G387" s="8">
        <v>324735</v>
      </c>
      <c r="H387" s="9"/>
      <c r="I387" s="9"/>
      <c r="J387" s="9"/>
      <c r="K387" s="9"/>
      <c r="L387" s="9"/>
      <c r="M387" s="9"/>
      <c r="N387" s="9"/>
      <c r="O387" s="9">
        <f>H387+N387</f>
        <v>0</v>
      </c>
      <c r="P387" s="9">
        <f>P174</f>
        <v>9299000</v>
      </c>
      <c r="Q387" s="9">
        <f t="shared" ref="Q387:S387" si="669">Q174</f>
        <v>2606000</v>
      </c>
      <c r="R387" s="9">
        <f t="shared" si="669"/>
        <v>0</v>
      </c>
      <c r="S387" s="9">
        <f t="shared" si="669"/>
        <v>0</v>
      </c>
      <c r="T387" s="9">
        <f>SUM(P387:S387)</f>
        <v>11905000</v>
      </c>
      <c r="U387" s="9">
        <f>U174</f>
        <v>9007387.1400000006</v>
      </c>
      <c r="V387" s="9">
        <f t="shared" ref="V387:V389" si="670">O387+U387</f>
        <v>9007387.1400000006</v>
      </c>
      <c r="W387" s="9">
        <f>W174</f>
        <v>2637000</v>
      </c>
      <c r="X387" s="9"/>
      <c r="Y387" s="9"/>
      <c r="Z387" s="9"/>
      <c r="AA387" s="9"/>
      <c r="AB387" s="9"/>
      <c r="AC387" s="9"/>
      <c r="AD387" s="66">
        <f t="shared" si="628"/>
        <v>2637000</v>
      </c>
      <c r="AE387" s="9">
        <f>AE174</f>
        <v>2570536.79</v>
      </c>
      <c r="AF387" s="9">
        <f t="shared" ref="AF387:AF389" si="671">V387+AE387</f>
        <v>11577923.93</v>
      </c>
      <c r="AG387" s="9">
        <f t="shared" ref="AG387:AN387" si="672">AG174</f>
        <v>0</v>
      </c>
      <c r="AH387" s="9">
        <f t="shared" si="672"/>
        <v>0</v>
      </c>
      <c r="AI387" s="9">
        <f t="shared" si="672"/>
        <v>0</v>
      </c>
      <c r="AJ387" s="9">
        <f t="shared" si="672"/>
        <v>0</v>
      </c>
      <c r="AK387" s="9">
        <f t="shared" si="672"/>
        <v>0</v>
      </c>
      <c r="AL387" s="9">
        <f t="shared" si="672"/>
        <v>0</v>
      </c>
      <c r="AM387" s="9">
        <f t="shared" si="672"/>
        <v>0</v>
      </c>
      <c r="AN387" s="9">
        <f t="shared" si="672"/>
        <v>0</v>
      </c>
      <c r="AO387" s="66">
        <f t="shared" si="597"/>
        <v>0</v>
      </c>
      <c r="AP387" s="66">
        <f t="shared" si="598"/>
        <v>0</v>
      </c>
      <c r="AQ387" s="66">
        <f t="shared" si="599"/>
        <v>0</v>
      </c>
      <c r="AR387" s="9">
        <f t="shared" ref="AR387:AV387" si="673">AR174</f>
        <v>0</v>
      </c>
      <c r="AS387" s="9">
        <f t="shared" si="673"/>
        <v>0</v>
      </c>
      <c r="AT387" s="9">
        <f t="shared" si="673"/>
        <v>0</v>
      </c>
      <c r="AU387" s="9">
        <f t="shared" si="673"/>
        <v>0</v>
      </c>
      <c r="AV387" s="9">
        <f t="shared" si="673"/>
        <v>0</v>
      </c>
      <c r="AW387" s="9">
        <f t="shared" si="600"/>
        <v>11577923.93</v>
      </c>
      <c r="AX387" s="10" t="s">
        <v>147</v>
      </c>
      <c r="AY387" s="5">
        <v>11905000</v>
      </c>
      <c r="AZ387" s="5">
        <f t="shared" si="665"/>
        <v>-327076.0700000003</v>
      </c>
    </row>
    <row r="388" spans="1:52" s="5" customFormat="1" ht="135">
      <c r="A388" s="144"/>
      <c r="B388" s="146"/>
      <c r="C388" s="114"/>
      <c r="D388" s="6" t="s">
        <v>21</v>
      </c>
      <c r="E388" s="7">
        <v>42109304</v>
      </c>
      <c r="F388" s="8" t="s">
        <v>134</v>
      </c>
      <c r="G388" s="8">
        <v>324735</v>
      </c>
      <c r="H388" s="9"/>
      <c r="I388" s="9"/>
      <c r="J388" s="9"/>
      <c r="K388" s="9"/>
      <c r="L388" s="9"/>
      <c r="M388" s="9"/>
      <c r="N388" s="9"/>
      <c r="O388" s="9">
        <f>H388+N388</f>
        <v>0</v>
      </c>
      <c r="P388" s="9">
        <v>1256000</v>
      </c>
      <c r="Q388" s="9"/>
      <c r="R388" s="9"/>
      <c r="S388" s="9"/>
      <c r="T388" s="9">
        <f>SUM(P388:S388)</f>
        <v>1256000</v>
      </c>
      <c r="U388" s="9">
        <v>748843.52000000002</v>
      </c>
      <c r="V388" s="9">
        <f t="shared" si="670"/>
        <v>748843.52000000002</v>
      </c>
      <c r="W388" s="9">
        <f>507053.22-53.22-36000</f>
        <v>471000</v>
      </c>
      <c r="X388" s="9"/>
      <c r="Y388" s="9"/>
      <c r="Z388" s="9"/>
      <c r="AA388" s="9"/>
      <c r="AB388" s="9"/>
      <c r="AC388" s="9"/>
      <c r="AD388" s="66">
        <f t="shared" si="628"/>
        <v>471000</v>
      </c>
      <c r="AE388" s="9">
        <f>3547823.39*13/98</f>
        <v>470629.63336734695</v>
      </c>
      <c r="AF388" s="9">
        <f t="shared" si="671"/>
        <v>1219473.1533673471</v>
      </c>
      <c r="AG388" s="9"/>
      <c r="AH388" s="9"/>
      <c r="AI388" s="9"/>
      <c r="AJ388" s="9"/>
      <c r="AK388" s="9"/>
      <c r="AL388" s="9"/>
      <c r="AM388" s="9"/>
      <c r="AN388" s="9"/>
      <c r="AO388" s="66">
        <f t="shared" si="597"/>
        <v>0</v>
      </c>
      <c r="AP388" s="66">
        <f t="shared" si="598"/>
        <v>0</v>
      </c>
      <c r="AQ388" s="66">
        <f t="shared" si="599"/>
        <v>0</v>
      </c>
      <c r="AR388" s="9"/>
      <c r="AS388" s="9"/>
      <c r="AT388" s="9"/>
      <c r="AU388" s="9"/>
      <c r="AV388" s="9"/>
      <c r="AW388" s="9">
        <f t="shared" si="600"/>
        <v>1219473.1533673471</v>
      </c>
      <c r="AX388" s="10" t="s">
        <v>147</v>
      </c>
      <c r="AY388" s="5">
        <v>1255896.74</v>
      </c>
      <c r="AZ388" s="5">
        <f t="shared" si="665"/>
        <v>-36423.586632652907</v>
      </c>
    </row>
    <row r="389" spans="1:52" s="5" customFormat="1" ht="60">
      <c r="A389" s="144"/>
      <c r="B389" s="146"/>
      <c r="C389" s="114"/>
      <c r="D389" s="6" t="s">
        <v>21</v>
      </c>
      <c r="E389" s="7" t="s">
        <v>206</v>
      </c>
      <c r="F389" s="8" t="s">
        <v>144</v>
      </c>
      <c r="G389" s="8">
        <v>324735</v>
      </c>
      <c r="H389" s="9"/>
      <c r="I389" s="9"/>
      <c r="J389" s="9"/>
      <c r="K389" s="9"/>
      <c r="L389" s="9"/>
      <c r="M389" s="9"/>
      <c r="N389" s="9"/>
      <c r="O389" s="9">
        <f>H389+N389</f>
        <v>0</v>
      </c>
      <c r="P389" s="9">
        <v>8212000</v>
      </c>
      <c r="Q389" s="9"/>
      <c r="R389" s="9"/>
      <c r="S389" s="9"/>
      <c r="T389" s="9">
        <f>SUM(P389:S389)</f>
        <v>8212000</v>
      </c>
      <c r="U389" s="9">
        <v>4896284.53</v>
      </c>
      <c r="V389" s="9">
        <f t="shared" si="670"/>
        <v>4896284.53</v>
      </c>
      <c r="W389" s="9">
        <f>3315347.97+652.03-238000</f>
        <v>3078000</v>
      </c>
      <c r="X389" s="9"/>
      <c r="Y389" s="9"/>
      <c r="Z389" s="9"/>
      <c r="AA389" s="9"/>
      <c r="AB389" s="9"/>
      <c r="AC389" s="9"/>
      <c r="AD389" s="66">
        <f t="shared" si="628"/>
        <v>3078000</v>
      </c>
      <c r="AE389" s="9">
        <f>3547823.39*85/98</f>
        <v>3077193.7566326535</v>
      </c>
      <c r="AF389" s="9">
        <f t="shared" si="671"/>
        <v>7973478.2866326533</v>
      </c>
      <c r="AG389" s="9"/>
      <c r="AH389" s="9"/>
      <c r="AI389" s="9"/>
      <c r="AJ389" s="9"/>
      <c r="AK389" s="9"/>
      <c r="AL389" s="9"/>
      <c r="AM389" s="9"/>
      <c r="AN389" s="9"/>
      <c r="AO389" s="66">
        <f t="shared" si="597"/>
        <v>0</v>
      </c>
      <c r="AP389" s="66">
        <f t="shared" si="598"/>
        <v>0</v>
      </c>
      <c r="AQ389" s="66">
        <f t="shared" si="599"/>
        <v>0</v>
      </c>
      <c r="AR389" s="9"/>
      <c r="AS389" s="9"/>
      <c r="AT389" s="9"/>
      <c r="AU389" s="9"/>
      <c r="AV389" s="9"/>
      <c r="AW389" s="9">
        <f t="shared" si="600"/>
        <v>7973478.2866326533</v>
      </c>
      <c r="AX389" s="10" t="s">
        <v>147</v>
      </c>
      <c r="AY389" s="5">
        <v>8211632.25</v>
      </c>
      <c r="AZ389" s="5">
        <f t="shared" si="665"/>
        <v>-238153.96336734667</v>
      </c>
    </row>
    <row r="390" spans="1:52" s="5" customFormat="1" ht="30">
      <c r="A390" s="144"/>
      <c r="B390" s="146"/>
      <c r="C390" s="114"/>
      <c r="D390" s="6" t="s">
        <v>21</v>
      </c>
      <c r="E390" s="7"/>
      <c r="F390" s="8" t="s">
        <v>96</v>
      </c>
      <c r="G390" s="8">
        <v>324735</v>
      </c>
      <c r="H390" s="9">
        <f>H395-H387-H389-H388</f>
        <v>0</v>
      </c>
      <c r="I390" s="9">
        <f>I395-I387</f>
        <v>0</v>
      </c>
      <c r="J390" s="9">
        <f t="shared" ref="J390:L390" si="674">J395-J387</f>
        <v>0</v>
      </c>
      <c r="K390" s="9">
        <f t="shared" si="674"/>
        <v>0</v>
      </c>
      <c r="L390" s="9">
        <f t="shared" si="674"/>
        <v>0</v>
      </c>
      <c r="M390" s="9">
        <f>SUM(I390:L390)</f>
        <v>0</v>
      </c>
      <c r="N390" s="9">
        <f t="shared" ref="N390:S390" si="675">N395-N387-N389-N388</f>
        <v>0</v>
      </c>
      <c r="O390" s="9">
        <f t="shared" si="675"/>
        <v>0</v>
      </c>
      <c r="P390" s="9">
        <f t="shared" si="675"/>
        <v>2833000</v>
      </c>
      <c r="Q390" s="9">
        <f t="shared" si="675"/>
        <v>-2606000</v>
      </c>
      <c r="R390" s="9">
        <f t="shared" si="675"/>
        <v>0</v>
      </c>
      <c r="S390" s="9">
        <f t="shared" si="675"/>
        <v>0</v>
      </c>
      <c r="T390" s="9">
        <f>T395-T387-T389-T388</f>
        <v>227000</v>
      </c>
      <c r="U390" s="9">
        <f t="shared" ref="U390:V390" si="676">U395-U387-U389-U388</f>
        <v>153704.4299999983</v>
      </c>
      <c r="V390" s="9">
        <f t="shared" si="676"/>
        <v>153704.4299999983</v>
      </c>
      <c r="W390" s="9">
        <f t="shared" ref="W390:AD390" si="677">W395-W387-W389-W388</f>
        <v>24000</v>
      </c>
      <c r="X390" s="9">
        <f t="shared" si="677"/>
        <v>0</v>
      </c>
      <c r="Y390" s="9">
        <f t="shared" si="677"/>
        <v>0</v>
      </c>
      <c r="Z390" s="9">
        <f t="shared" si="677"/>
        <v>0</v>
      </c>
      <c r="AA390" s="9"/>
      <c r="AB390" s="9"/>
      <c r="AC390" s="9"/>
      <c r="AD390" s="66">
        <f t="shared" si="677"/>
        <v>24000</v>
      </c>
      <c r="AE390" s="9">
        <f t="shared" ref="AE390:AF390" si="678">AE395-AE387-AE389-AE388</f>
        <v>90540.999999999185</v>
      </c>
      <c r="AF390" s="9">
        <f t="shared" si="678"/>
        <v>244245.42999999691</v>
      </c>
      <c r="AG390" s="9">
        <f t="shared" ref="AG390:AW390" si="679">AG395-AG387-AG389-AG388</f>
        <v>0</v>
      </c>
      <c r="AH390" s="9">
        <f t="shared" si="679"/>
        <v>0</v>
      </c>
      <c r="AI390" s="9">
        <f t="shared" si="679"/>
        <v>0</v>
      </c>
      <c r="AJ390" s="9">
        <f t="shared" si="679"/>
        <v>0</v>
      </c>
      <c r="AK390" s="9">
        <f t="shared" si="679"/>
        <v>0</v>
      </c>
      <c r="AL390" s="9">
        <f t="shared" si="679"/>
        <v>0</v>
      </c>
      <c r="AM390" s="9">
        <f t="shared" si="679"/>
        <v>0</v>
      </c>
      <c r="AN390" s="9">
        <f t="shared" si="679"/>
        <v>0</v>
      </c>
      <c r="AO390" s="66">
        <f t="shared" si="679"/>
        <v>0</v>
      </c>
      <c r="AP390" s="66">
        <f t="shared" si="679"/>
        <v>0</v>
      </c>
      <c r="AQ390" s="66">
        <f t="shared" si="679"/>
        <v>0</v>
      </c>
      <c r="AR390" s="9">
        <f t="shared" si="679"/>
        <v>0</v>
      </c>
      <c r="AS390" s="9">
        <f t="shared" si="679"/>
        <v>0</v>
      </c>
      <c r="AT390" s="9">
        <f t="shared" si="679"/>
        <v>0</v>
      </c>
      <c r="AU390" s="9">
        <f t="shared" si="679"/>
        <v>0</v>
      </c>
      <c r="AV390" s="9">
        <f t="shared" si="679"/>
        <v>0</v>
      </c>
      <c r="AW390" s="9">
        <f t="shared" si="679"/>
        <v>244245.42999999691</v>
      </c>
      <c r="AX390" s="10" t="s">
        <v>147</v>
      </c>
      <c r="AY390" s="5">
        <v>226657.76</v>
      </c>
      <c r="AZ390" s="5">
        <f t="shared" si="665"/>
        <v>17587.669999996899</v>
      </c>
    </row>
    <row r="391" spans="1:52" s="5" customFormat="1" ht="21.75" customHeight="1">
      <c r="A391" s="144"/>
      <c r="B391" s="146"/>
      <c r="C391" s="114"/>
      <c r="D391" s="6" t="s">
        <v>21</v>
      </c>
      <c r="E391" s="7"/>
      <c r="F391" s="8" t="s">
        <v>47</v>
      </c>
      <c r="G391" s="8">
        <v>324735</v>
      </c>
      <c r="H391" s="9">
        <f t="shared" ref="H391:S391" si="680">SUM(H387:H390)</f>
        <v>0</v>
      </c>
      <c r="I391" s="9">
        <f t="shared" si="680"/>
        <v>0</v>
      </c>
      <c r="J391" s="9">
        <f t="shared" si="680"/>
        <v>0</v>
      </c>
      <c r="K391" s="9">
        <f t="shared" si="680"/>
        <v>0</v>
      </c>
      <c r="L391" s="9">
        <f t="shared" si="680"/>
        <v>0</v>
      </c>
      <c r="M391" s="9">
        <f t="shared" si="680"/>
        <v>0</v>
      </c>
      <c r="N391" s="9">
        <f t="shared" si="680"/>
        <v>0</v>
      </c>
      <c r="O391" s="9">
        <f t="shared" si="680"/>
        <v>0</v>
      </c>
      <c r="P391" s="9">
        <f t="shared" si="680"/>
        <v>21600000</v>
      </c>
      <c r="Q391" s="9">
        <f t="shared" si="680"/>
        <v>0</v>
      </c>
      <c r="R391" s="9">
        <f t="shared" si="680"/>
        <v>0</v>
      </c>
      <c r="S391" s="9">
        <f t="shared" si="680"/>
        <v>0</v>
      </c>
      <c r="T391" s="9">
        <f>SUM(T387:T390)</f>
        <v>21600000</v>
      </c>
      <c r="U391" s="9">
        <f t="shared" ref="U391:V391" si="681">SUM(U387:U390)</f>
        <v>14806219.619999999</v>
      </c>
      <c r="V391" s="9">
        <f t="shared" si="681"/>
        <v>14806219.619999999</v>
      </c>
      <c r="W391" s="9">
        <f t="shared" ref="W391:AD391" si="682">SUM(W387:W390)</f>
        <v>6210000</v>
      </c>
      <c r="X391" s="9">
        <f t="shared" si="682"/>
        <v>0</v>
      </c>
      <c r="Y391" s="9">
        <f t="shared" si="682"/>
        <v>0</v>
      </c>
      <c r="Z391" s="9">
        <f t="shared" si="682"/>
        <v>0</v>
      </c>
      <c r="AA391" s="9"/>
      <c r="AB391" s="9"/>
      <c r="AC391" s="9"/>
      <c r="AD391" s="66">
        <f t="shared" si="682"/>
        <v>6210000</v>
      </c>
      <c r="AE391" s="9">
        <f t="shared" ref="AE391:AF391" si="683">SUM(AE387:AE390)</f>
        <v>6208901.1799999997</v>
      </c>
      <c r="AF391" s="9">
        <f t="shared" si="683"/>
        <v>21015120.799999997</v>
      </c>
      <c r="AG391" s="9">
        <f t="shared" ref="AG391:AW391" si="684">SUM(AG387:AG390)</f>
        <v>0</v>
      </c>
      <c r="AH391" s="9">
        <f t="shared" si="684"/>
        <v>0</v>
      </c>
      <c r="AI391" s="9">
        <f t="shared" si="684"/>
        <v>0</v>
      </c>
      <c r="AJ391" s="9">
        <f t="shared" si="684"/>
        <v>0</v>
      </c>
      <c r="AK391" s="9">
        <f t="shared" si="684"/>
        <v>0</v>
      </c>
      <c r="AL391" s="9">
        <f t="shared" si="684"/>
        <v>0</v>
      </c>
      <c r="AM391" s="9">
        <f t="shared" si="684"/>
        <v>0</v>
      </c>
      <c r="AN391" s="9">
        <f t="shared" si="684"/>
        <v>0</v>
      </c>
      <c r="AO391" s="66">
        <f t="shared" si="684"/>
        <v>0</v>
      </c>
      <c r="AP391" s="66">
        <f t="shared" si="684"/>
        <v>0</v>
      </c>
      <c r="AQ391" s="66">
        <f t="shared" si="684"/>
        <v>0</v>
      </c>
      <c r="AR391" s="9">
        <f t="shared" si="684"/>
        <v>0</v>
      </c>
      <c r="AS391" s="9">
        <f t="shared" si="684"/>
        <v>0</v>
      </c>
      <c r="AT391" s="9">
        <f t="shared" si="684"/>
        <v>0</v>
      </c>
      <c r="AU391" s="9">
        <f t="shared" si="684"/>
        <v>0</v>
      </c>
      <c r="AV391" s="9">
        <f t="shared" si="684"/>
        <v>0</v>
      </c>
      <c r="AW391" s="9">
        <f t="shared" si="684"/>
        <v>21015120.799999997</v>
      </c>
      <c r="AX391" s="10" t="s">
        <v>147</v>
      </c>
      <c r="AY391" s="5">
        <v>21599186.750000004</v>
      </c>
      <c r="AZ391" s="5">
        <f t="shared" si="665"/>
        <v>-584065.95000000671</v>
      </c>
    </row>
    <row r="392" spans="1:52" s="4" customFormat="1" ht="21.75" customHeight="1">
      <c r="A392" s="144"/>
      <c r="B392" s="146"/>
      <c r="C392" s="114"/>
      <c r="D392" s="24" t="s">
        <v>22</v>
      </c>
      <c r="E392" s="25">
        <v>564801</v>
      </c>
      <c r="F392" s="37" t="s">
        <v>30</v>
      </c>
      <c r="G392" s="37">
        <v>324735</v>
      </c>
      <c r="H392" s="26"/>
      <c r="I392" s="26"/>
      <c r="J392" s="26"/>
      <c r="K392" s="26"/>
      <c r="L392" s="26"/>
      <c r="M392" s="26"/>
      <c r="N392" s="26"/>
      <c r="O392" s="26">
        <f t="shared" ref="O392:O394" si="685">H392+N392</f>
        <v>0</v>
      </c>
      <c r="P392" s="26">
        <v>1450000</v>
      </c>
      <c r="Q392" s="26"/>
      <c r="R392" s="26"/>
      <c r="S392" s="26"/>
      <c r="T392" s="26">
        <f t="shared" ref="T392:T394" si="686">SUM(P392:S392)</f>
        <v>1450000</v>
      </c>
      <c r="U392" s="26">
        <v>1237558.22</v>
      </c>
      <c r="V392" s="26">
        <f t="shared" ref="V392:V436" si="687">O392+U392</f>
        <v>1237558.22</v>
      </c>
      <c r="W392" s="26">
        <v>170000</v>
      </c>
      <c r="X392" s="26"/>
      <c r="Y392" s="26"/>
      <c r="Z392" s="26"/>
      <c r="AA392" s="26"/>
      <c r="AB392" s="26"/>
      <c r="AC392" s="26"/>
      <c r="AD392" s="67">
        <f t="shared" si="628"/>
        <v>170000</v>
      </c>
      <c r="AE392" s="26">
        <f>22603.49+146922.68</f>
        <v>169526.16999999998</v>
      </c>
      <c r="AF392" s="26">
        <f t="shared" ref="AF392:AF398" si="688">V392+AE392</f>
        <v>1407084.39</v>
      </c>
      <c r="AG392" s="26"/>
      <c r="AH392" s="26"/>
      <c r="AI392" s="26"/>
      <c r="AJ392" s="26"/>
      <c r="AK392" s="26"/>
      <c r="AL392" s="26"/>
      <c r="AM392" s="26"/>
      <c r="AN392" s="26"/>
      <c r="AO392" s="67">
        <f t="shared" ref="AO392:AO465" si="689">AG392+AI392+AK392+AM392</f>
        <v>0</v>
      </c>
      <c r="AP392" s="67">
        <f t="shared" ref="AP392:AP465" si="690">AH392+AJ392+AL392+AN392</f>
        <v>0</v>
      </c>
      <c r="AQ392" s="67">
        <f t="shared" ref="AQ392:AQ465" si="691">AO392+AP392</f>
        <v>0</v>
      </c>
      <c r="AR392" s="26"/>
      <c r="AS392" s="26"/>
      <c r="AT392" s="26"/>
      <c r="AU392" s="26"/>
      <c r="AV392" s="26"/>
      <c r="AW392" s="26">
        <f t="shared" ref="AW392:AW465" si="692">AF392+AQ392+AR392+AS392+AT392+AU392+AV392</f>
        <v>1407084.39</v>
      </c>
      <c r="AX392" s="14" t="s">
        <v>147</v>
      </c>
      <c r="AY392" s="4">
        <v>1449111.62</v>
      </c>
      <c r="AZ392" s="4">
        <f t="shared" si="665"/>
        <v>-42027.230000000214</v>
      </c>
    </row>
    <row r="393" spans="1:52" s="4" customFormat="1" ht="30">
      <c r="A393" s="144"/>
      <c r="B393" s="146"/>
      <c r="C393" s="114"/>
      <c r="D393" s="24" t="s">
        <v>22</v>
      </c>
      <c r="E393" s="25">
        <v>564802</v>
      </c>
      <c r="F393" s="37" t="s">
        <v>31</v>
      </c>
      <c r="G393" s="37">
        <v>324735</v>
      </c>
      <c r="H393" s="26"/>
      <c r="I393" s="26"/>
      <c r="J393" s="26"/>
      <c r="K393" s="26"/>
      <c r="L393" s="26"/>
      <c r="M393" s="26"/>
      <c r="N393" s="26"/>
      <c r="O393" s="26">
        <f t="shared" si="685"/>
        <v>0</v>
      </c>
      <c r="P393" s="26">
        <v>8212000</v>
      </c>
      <c r="Q393" s="26"/>
      <c r="R393" s="26"/>
      <c r="S393" s="26"/>
      <c r="T393" s="26">
        <f t="shared" si="686"/>
        <v>8212000</v>
      </c>
      <c r="U393" s="26">
        <v>7012830.0099999998</v>
      </c>
      <c r="V393" s="26">
        <f t="shared" si="687"/>
        <v>7012830.0099999998</v>
      </c>
      <c r="W393" s="26">
        <v>961000</v>
      </c>
      <c r="X393" s="26"/>
      <c r="Y393" s="26"/>
      <c r="Z393" s="26"/>
      <c r="AA393" s="26"/>
      <c r="AB393" s="26"/>
      <c r="AC393" s="26"/>
      <c r="AD393" s="67">
        <f t="shared" si="628"/>
        <v>961000</v>
      </c>
      <c r="AE393" s="26">
        <f>960648.29</f>
        <v>960648.29</v>
      </c>
      <c r="AF393" s="26">
        <f t="shared" si="688"/>
        <v>7973478.2999999998</v>
      </c>
      <c r="AG393" s="26"/>
      <c r="AH393" s="26"/>
      <c r="AI393" s="26"/>
      <c r="AJ393" s="26"/>
      <c r="AK393" s="26"/>
      <c r="AL393" s="26"/>
      <c r="AM393" s="26"/>
      <c r="AN393" s="26"/>
      <c r="AO393" s="67">
        <f t="shared" si="689"/>
        <v>0</v>
      </c>
      <c r="AP393" s="67">
        <f t="shared" si="690"/>
        <v>0</v>
      </c>
      <c r="AQ393" s="67">
        <f t="shared" si="691"/>
        <v>0</v>
      </c>
      <c r="AR393" s="26"/>
      <c r="AS393" s="26"/>
      <c r="AT393" s="26"/>
      <c r="AU393" s="26"/>
      <c r="AV393" s="26"/>
      <c r="AW393" s="26">
        <f t="shared" si="692"/>
        <v>7973478.2999999998</v>
      </c>
      <c r="AX393" s="14" t="s">
        <v>147</v>
      </c>
      <c r="AY393" s="4">
        <v>8211632.25</v>
      </c>
      <c r="AZ393" s="4">
        <f t="shared" si="665"/>
        <v>-238153.95000000019</v>
      </c>
    </row>
    <row r="394" spans="1:52" s="4" customFormat="1" ht="21.75" customHeight="1">
      <c r="A394" s="144"/>
      <c r="B394" s="146"/>
      <c r="C394" s="114"/>
      <c r="D394" s="24" t="s">
        <v>22</v>
      </c>
      <c r="E394" s="25">
        <v>564803</v>
      </c>
      <c r="F394" s="37" t="s">
        <v>28</v>
      </c>
      <c r="G394" s="37">
        <v>324735</v>
      </c>
      <c r="H394" s="26"/>
      <c r="I394" s="26"/>
      <c r="J394" s="26"/>
      <c r="K394" s="26"/>
      <c r="L394" s="26"/>
      <c r="M394" s="26"/>
      <c r="N394" s="26"/>
      <c r="O394" s="26">
        <f t="shared" si="685"/>
        <v>0</v>
      </c>
      <c r="P394" s="26">
        <v>11938000</v>
      </c>
      <c r="Q394" s="26"/>
      <c r="R394" s="26"/>
      <c r="S394" s="26"/>
      <c r="T394" s="26">
        <f t="shared" si="686"/>
        <v>11938000</v>
      </c>
      <c r="U394" s="26">
        <v>6555831.3899999997</v>
      </c>
      <c r="V394" s="26">
        <f t="shared" si="687"/>
        <v>6555831.3899999997</v>
      </c>
      <c r="W394" s="26">
        <v>5079000</v>
      </c>
      <c r="X394" s="26"/>
      <c r="Y394" s="26"/>
      <c r="Z394" s="26"/>
      <c r="AA394" s="26"/>
      <c r="AB394" s="26"/>
      <c r="AC394" s="26"/>
      <c r="AD394" s="67">
        <f t="shared" ref="AD394:AD500" si="693">SUM(W394:Z394)</f>
        <v>5079000</v>
      </c>
      <c r="AE394" s="26">
        <f>90541+4988185.72</f>
        <v>5078726.72</v>
      </c>
      <c r="AF394" s="26">
        <f t="shared" si="688"/>
        <v>11634558.109999999</v>
      </c>
      <c r="AG394" s="26"/>
      <c r="AH394" s="26"/>
      <c r="AI394" s="26"/>
      <c r="AJ394" s="26"/>
      <c r="AK394" s="26"/>
      <c r="AL394" s="26"/>
      <c r="AM394" s="26"/>
      <c r="AN394" s="26"/>
      <c r="AO394" s="67">
        <f t="shared" si="689"/>
        <v>0</v>
      </c>
      <c r="AP394" s="67">
        <f t="shared" si="690"/>
        <v>0</v>
      </c>
      <c r="AQ394" s="67">
        <f t="shared" si="691"/>
        <v>0</v>
      </c>
      <c r="AR394" s="26"/>
      <c r="AS394" s="26"/>
      <c r="AT394" s="26"/>
      <c r="AU394" s="26"/>
      <c r="AV394" s="26"/>
      <c r="AW394" s="26">
        <f t="shared" si="692"/>
        <v>11634558.109999999</v>
      </c>
      <c r="AX394" s="14" t="s">
        <v>147</v>
      </c>
      <c r="AY394" s="4">
        <v>11938442.880000001</v>
      </c>
      <c r="AZ394" s="41">
        <f t="shared" si="665"/>
        <v>-303884.77000000142</v>
      </c>
    </row>
    <row r="395" spans="1:52" s="4" customFormat="1" ht="21.75" customHeight="1">
      <c r="A395" s="145"/>
      <c r="B395" s="147"/>
      <c r="C395" s="115"/>
      <c r="D395" s="24" t="s">
        <v>22</v>
      </c>
      <c r="E395" s="25"/>
      <c r="F395" s="25" t="s">
        <v>29</v>
      </c>
      <c r="G395" s="37">
        <v>324735</v>
      </c>
      <c r="H395" s="26">
        <f>SUM(H392:H394)</f>
        <v>0</v>
      </c>
      <c r="I395" s="26">
        <f t="shared" ref="I395:AW395" si="694">SUM(I392:I394)</f>
        <v>0</v>
      </c>
      <c r="J395" s="26">
        <f t="shared" si="694"/>
        <v>0</v>
      </c>
      <c r="K395" s="26">
        <f t="shared" si="694"/>
        <v>0</v>
      </c>
      <c r="L395" s="26">
        <f t="shared" si="694"/>
        <v>0</v>
      </c>
      <c r="M395" s="26">
        <f t="shared" si="694"/>
        <v>0</v>
      </c>
      <c r="N395" s="26">
        <f t="shared" si="694"/>
        <v>0</v>
      </c>
      <c r="O395" s="26">
        <f t="shared" si="694"/>
        <v>0</v>
      </c>
      <c r="P395" s="26">
        <f t="shared" si="694"/>
        <v>21600000</v>
      </c>
      <c r="Q395" s="26">
        <f t="shared" si="694"/>
        <v>0</v>
      </c>
      <c r="R395" s="26">
        <f t="shared" si="694"/>
        <v>0</v>
      </c>
      <c r="S395" s="26">
        <f t="shared" si="694"/>
        <v>0</v>
      </c>
      <c r="T395" s="26">
        <f t="shared" si="694"/>
        <v>21600000</v>
      </c>
      <c r="U395" s="26">
        <f t="shared" si="694"/>
        <v>14806219.619999999</v>
      </c>
      <c r="V395" s="26">
        <f t="shared" si="694"/>
        <v>14806219.619999999</v>
      </c>
      <c r="W395" s="26">
        <f t="shared" si="694"/>
        <v>6210000</v>
      </c>
      <c r="X395" s="26">
        <f t="shared" si="694"/>
        <v>0</v>
      </c>
      <c r="Y395" s="26">
        <f t="shared" si="694"/>
        <v>0</v>
      </c>
      <c r="Z395" s="26">
        <f t="shared" si="694"/>
        <v>0</v>
      </c>
      <c r="AA395" s="26"/>
      <c r="AB395" s="26"/>
      <c r="AC395" s="26"/>
      <c r="AD395" s="67">
        <f t="shared" si="694"/>
        <v>6210000</v>
      </c>
      <c r="AE395" s="26">
        <f t="shared" si="694"/>
        <v>6208901.1799999997</v>
      </c>
      <c r="AF395" s="26">
        <f t="shared" si="694"/>
        <v>21015120.799999997</v>
      </c>
      <c r="AG395" s="26">
        <f t="shared" si="694"/>
        <v>0</v>
      </c>
      <c r="AH395" s="26">
        <f t="shared" si="694"/>
        <v>0</v>
      </c>
      <c r="AI395" s="26">
        <f t="shared" si="694"/>
        <v>0</v>
      </c>
      <c r="AJ395" s="26">
        <f t="shared" si="694"/>
        <v>0</v>
      </c>
      <c r="AK395" s="26">
        <f t="shared" si="694"/>
        <v>0</v>
      </c>
      <c r="AL395" s="26">
        <f t="shared" si="694"/>
        <v>0</v>
      </c>
      <c r="AM395" s="26">
        <f t="shared" si="694"/>
        <v>0</v>
      </c>
      <c r="AN395" s="26">
        <f t="shared" si="694"/>
        <v>0</v>
      </c>
      <c r="AO395" s="67">
        <f t="shared" si="694"/>
        <v>0</v>
      </c>
      <c r="AP395" s="67">
        <f t="shared" si="694"/>
        <v>0</v>
      </c>
      <c r="AQ395" s="67">
        <f t="shared" si="694"/>
        <v>0</v>
      </c>
      <c r="AR395" s="26">
        <f t="shared" si="694"/>
        <v>0</v>
      </c>
      <c r="AS395" s="26">
        <f t="shared" si="694"/>
        <v>0</v>
      </c>
      <c r="AT395" s="26">
        <f t="shared" si="694"/>
        <v>0</v>
      </c>
      <c r="AU395" s="26">
        <f t="shared" si="694"/>
        <v>0</v>
      </c>
      <c r="AV395" s="26">
        <f t="shared" si="694"/>
        <v>0</v>
      </c>
      <c r="AW395" s="26">
        <f t="shared" si="694"/>
        <v>21015120.799999997</v>
      </c>
      <c r="AX395" s="14" t="s">
        <v>147</v>
      </c>
      <c r="AY395" s="4">
        <v>21599186.75</v>
      </c>
      <c r="AZ395" s="4">
        <f t="shared" si="665"/>
        <v>-584065.95000000298</v>
      </c>
    </row>
    <row r="396" spans="1:52" s="5" customFormat="1" ht="135">
      <c r="A396" s="109" t="s">
        <v>269</v>
      </c>
      <c r="B396" s="146" t="s">
        <v>26</v>
      </c>
      <c r="C396" s="114">
        <v>66</v>
      </c>
      <c r="D396" s="6" t="s">
        <v>21</v>
      </c>
      <c r="E396" s="7">
        <v>42109304</v>
      </c>
      <c r="F396" s="8" t="s">
        <v>134</v>
      </c>
      <c r="G396" s="8">
        <v>328782</v>
      </c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>
        <f t="shared" si="687"/>
        <v>0</v>
      </c>
      <c r="W396" s="9"/>
      <c r="X396" s="9">
        <f>646544.27+455.729999999981</f>
        <v>647000</v>
      </c>
      <c r="Y396" s="9"/>
      <c r="Z396" s="9">
        <f>646544.27-455.729999999981+911.459999999962</f>
        <v>647000</v>
      </c>
      <c r="AA396" s="9"/>
      <c r="AB396" s="9"/>
      <c r="AC396" s="9"/>
      <c r="AD396" s="66">
        <v>1917000</v>
      </c>
      <c r="AE396" s="9"/>
      <c r="AF396" s="9">
        <f t="shared" si="688"/>
        <v>0</v>
      </c>
      <c r="AG396" s="9">
        <v>3147000</v>
      </c>
      <c r="AH396" s="9"/>
      <c r="AI396" s="9">
        <v>86000</v>
      </c>
      <c r="AJ396" s="9"/>
      <c r="AK396" s="9"/>
      <c r="AL396" s="9"/>
      <c r="AM396" s="9"/>
      <c r="AN396" s="9"/>
      <c r="AO396" s="66">
        <f t="shared" si="689"/>
        <v>3233000</v>
      </c>
      <c r="AP396" s="66">
        <f t="shared" si="690"/>
        <v>0</v>
      </c>
      <c r="AQ396" s="66">
        <f t="shared" si="691"/>
        <v>3233000</v>
      </c>
      <c r="AR396" s="9">
        <v>-278.66790000005898</v>
      </c>
      <c r="AS396" s="9"/>
      <c r="AT396" s="9"/>
      <c r="AU396" s="9"/>
      <c r="AV396" s="9"/>
      <c r="AW396" s="9">
        <f t="shared" si="692"/>
        <v>3232721.3320999998</v>
      </c>
      <c r="AX396" s="10" t="s">
        <v>147</v>
      </c>
      <c r="AY396" s="5">
        <v>3232721.35</v>
      </c>
      <c r="AZ396" s="5">
        <f t="shared" si="665"/>
        <v>-1.790000032633543E-2</v>
      </c>
    </row>
    <row r="397" spans="1:52" s="5" customFormat="1" ht="60">
      <c r="A397" s="109"/>
      <c r="B397" s="146"/>
      <c r="C397" s="114"/>
      <c r="D397" s="6" t="s">
        <v>21</v>
      </c>
      <c r="E397" s="7" t="s">
        <v>206</v>
      </c>
      <c r="F397" s="8" t="s">
        <v>144</v>
      </c>
      <c r="G397" s="8">
        <v>328782</v>
      </c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>
        <f t="shared" si="687"/>
        <v>0</v>
      </c>
      <c r="W397" s="9"/>
      <c r="X397" s="9">
        <f>4153455.73+544.270000000018</f>
        <v>4154000</v>
      </c>
      <c r="Y397" s="9"/>
      <c r="Z397" s="9">
        <f>4153455.73-544.270000000018+88.5400000000372</f>
        <v>4153000</v>
      </c>
      <c r="AA397" s="9"/>
      <c r="AB397" s="9"/>
      <c r="AC397" s="9"/>
      <c r="AD397" s="66">
        <v>12535000</v>
      </c>
      <c r="AE397" s="9"/>
      <c r="AF397" s="9">
        <f t="shared" si="688"/>
        <v>0</v>
      </c>
      <c r="AG397" s="9">
        <v>20572000</v>
      </c>
      <c r="AH397" s="9"/>
      <c r="AI397" s="9">
        <v>566000</v>
      </c>
      <c r="AJ397" s="9"/>
      <c r="AK397" s="9"/>
      <c r="AL397" s="9"/>
      <c r="AM397" s="9"/>
      <c r="AN397" s="9"/>
      <c r="AO397" s="66">
        <f t="shared" si="689"/>
        <v>21138000</v>
      </c>
      <c r="AP397" s="66">
        <f t="shared" si="690"/>
        <v>0</v>
      </c>
      <c r="AQ397" s="66">
        <f t="shared" si="691"/>
        <v>21138000</v>
      </c>
      <c r="AR397" s="9">
        <v>-975.90550000162295</v>
      </c>
      <c r="AS397" s="9"/>
      <c r="AT397" s="9"/>
      <c r="AU397" s="9"/>
      <c r="AV397" s="9"/>
      <c r="AW397" s="9">
        <f t="shared" si="692"/>
        <v>21137024.094499998</v>
      </c>
      <c r="AX397" s="10" t="s">
        <v>147</v>
      </c>
      <c r="AY397" s="5">
        <v>21137023.82</v>
      </c>
      <c r="AZ397" s="5">
        <f t="shared" si="665"/>
        <v>0.27449999749660492</v>
      </c>
    </row>
    <row r="398" spans="1:52" s="5" customFormat="1" ht="75">
      <c r="A398" s="109"/>
      <c r="B398" s="146"/>
      <c r="C398" s="114"/>
      <c r="D398" s="6" t="s">
        <v>21</v>
      </c>
      <c r="E398" s="7">
        <v>431014</v>
      </c>
      <c r="F398" s="8" t="s">
        <v>83</v>
      </c>
      <c r="G398" s="8">
        <v>328782</v>
      </c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>
        <f t="shared" si="687"/>
        <v>0</v>
      </c>
      <c r="W398" s="9">
        <f>W181</f>
        <v>208000</v>
      </c>
      <c r="X398" s="9">
        <f t="shared" ref="X398:Z398" si="695">X181</f>
        <v>216000</v>
      </c>
      <c r="Y398" s="9">
        <f t="shared" si="695"/>
        <v>821000</v>
      </c>
      <c r="Z398" s="9">
        <f t="shared" si="695"/>
        <v>1165000</v>
      </c>
      <c r="AA398" s="9"/>
      <c r="AB398" s="9"/>
      <c r="AC398" s="9"/>
      <c r="AD398" s="66">
        <f>SUM(W398:Z398)</f>
        <v>2410000</v>
      </c>
      <c r="AE398" s="9">
        <f>AE181</f>
        <v>324526.12</v>
      </c>
      <c r="AF398" s="9">
        <f t="shared" si="688"/>
        <v>324526.12</v>
      </c>
      <c r="AG398" s="9">
        <f t="shared" ref="AG398:AN398" si="696">AG181</f>
        <v>1007000</v>
      </c>
      <c r="AH398" s="9">
        <f t="shared" si="696"/>
        <v>0</v>
      </c>
      <c r="AI398" s="9">
        <f t="shared" si="696"/>
        <v>1858000</v>
      </c>
      <c r="AJ398" s="9">
        <f t="shared" si="696"/>
        <v>0</v>
      </c>
      <c r="AK398" s="9">
        <f t="shared" si="696"/>
        <v>880000</v>
      </c>
      <c r="AL398" s="9">
        <f t="shared" si="696"/>
        <v>0</v>
      </c>
      <c r="AM398" s="9">
        <f t="shared" si="696"/>
        <v>518000.00000000006</v>
      </c>
      <c r="AN398" s="9">
        <f t="shared" si="696"/>
        <v>0</v>
      </c>
      <c r="AO398" s="66">
        <f t="shared" si="689"/>
        <v>4263000</v>
      </c>
      <c r="AP398" s="66">
        <f t="shared" si="690"/>
        <v>0</v>
      </c>
      <c r="AQ398" s="66">
        <f t="shared" si="691"/>
        <v>4263000</v>
      </c>
      <c r="AR398" s="9">
        <f t="shared" ref="AR398:AV398" si="697">AR181</f>
        <v>339082.86340000003</v>
      </c>
      <c r="AS398" s="9">
        <f t="shared" si="697"/>
        <v>0</v>
      </c>
      <c r="AT398" s="9">
        <f t="shared" si="697"/>
        <v>0</v>
      </c>
      <c r="AU398" s="9">
        <f t="shared" si="697"/>
        <v>0</v>
      </c>
      <c r="AV398" s="9">
        <f t="shared" si="697"/>
        <v>0</v>
      </c>
      <c r="AW398" s="9">
        <f t="shared" si="692"/>
        <v>4926608.9834000003</v>
      </c>
      <c r="AX398" s="10" t="s">
        <v>147</v>
      </c>
      <c r="AY398" s="5">
        <f>AY402+AY405</f>
        <v>4926608.9800000004</v>
      </c>
      <c r="AZ398" s="5">
        <f t="shared" si="665"/>
        <v>3.399999812245369E-3</v>
      </c>
    </row>
    <row r="399" spans="1:52" s="5" customFormat="1" ht="30">
      <c r="A399" s="109"/>
      <c r="B399" s="146"/>
      <c r="C399" s="114"/>
      <c r="D399" s="6" t="s">
        <v>21</v>
      </c>
      <c r="E399" s="7"/>
      <c r="F399" s="8" t="s">
        <v>96</v>
      </c>
      <c r="G399" s="8">
        <v>328782</v>
      </c>
      <c r="H399" s="9"/>
      <c r="I399" s="9"/>
      <c r="J399" s="9"/>
      <c r="K399" s="9"/>
      <c r="L399" s="9"/>
      <c r="M399" s="9"/>
      <c r="N399" s="9"/>
      <c r="O399" s="9">
        <f>O406-O396-O397</f>
        <v>0</v>
      </c>
      <c r="P399" s="9">
        <f t="shared" ref="P399:U399" si="698">P406-P396-P397</f>
        <v>0</v>
      </c>
      <c r="Q399" s="9">
        <f t="shared" si="698"/>
        <v>0</v>
      </c>
      <c r="R399" s="9">
        <f t="shared" si="698"/>
        <v>0</v>
      </c>
      <c r="S399" s="9">
        <f t="shared" si="698"/>
        <v>0</v>
      </c>
      <c r="T399" s="9">
        <f t="shared" si="698"/>
        <v>0</v>
      </c>
      <c r="U399" s="9">
        <f t="shared" si="698"/>
        <v>0</v>
      </c>
      <c r="V399" s="9">
        <f>V406-V396-V397-V398</f>
        <v>0</v>
      </c>
      <c r="W399" s="9">
        <f t="shared" ref="W399:AD399" si="699">W406-W396-W397-W398</f>
        <v>0</v>
      </c>
      <c r="X399" s="9">
        <f t="shared" si="699"/>
        <v>-97000</v>
      </c>
      <c r="Y399" s="9">
        <f t="shared" si="699"/>
        <v>0</v>
      </c>
      <c r="Z399" s="9">
        <f t="shared" si="699"/>
        <v>4948000</v>
      </c>
      <c r="AA399" s="9"/>
      <c r="AB399" s="9"/>
      <c r="AC399" s="9"/>
      <c r="AD399" s="66">
        <f t="shared" si="699"/>
        <v>0</v>
      </c>
      <c r="AE399" s="9">
        <f t="shared" ref="AE399:AF399" si="700">AE406-AE396-AE397-AE398</f>
        <v>-0.11999999999534339</v>
      </c>
      <c r="AF399" s="9">
        <f t="shared" si="700"/>
        <v>-0.11999999999534339</v>
      </c>
      <c r="AG399" s="9">
        <f t="shared" ref="AG399:AW399" si="701">AG406-AG396-AG397-AG398</f>
        <v>0</v>
      </c>
      <c r="AH399" s="9">
        <f t="shared" si="701"/>
        <v>0</v>
      </c>
      <c r="AI399" s="9">
        <f t="shared" si="701"/>
        <v>0</v>
      </c>
      <c r="AJ399" s="9">
        <f t="shared" si="701"/>
        <v>0</v>
      </c>
      <c r="AK399" s="9">
        <f t="shared" si="701"/>
        <v>0</v>
      </c>
      <c r="AL399" s="9">
        <f t="shared" si="701"/>
        <v>0</v>
      </c>
      <c r="AM399" s="9">
        <f t="shared" si="701"/>
        <v>0</v>
      </c>
      <c r="AN399" s="9">
        <f t="shared" si="701"/>
        <v>0</v>
      </c>
      <c r="AO399" s="66">
        <f t="shared" si="701"/>
        <v>0</v>
      </c>
      <c r="AP399" s="66">
        <f t="shared" si="701"/>
        <v>0</v>
      </c>
      <c r="AQ399" s="66">
        <f t="shared" si="701"/>
        <v>0</v>
      </c>
      <c r="AR399" s="9">
        <f t="shared" si="701"/>
        <v>0</v>
      </c>
      <c r="AS399" s="9">
        <f t="shared" si="701"/>
        <v>0</v>
      </c>
      <c r="AT399" s="9">
        <f t="shared" si="701"/>
        <v>0</v>
      </c>
      <c r="AU399" s="9">
        <f t="shared" si="701"/>
        <v>0</v>
      </c>
      <c r="AV399" s="9">
        <f t="shared" si="701"/>
        <v>0</v>
      </c>
      <c r="AW399" s="9">
        <f t="shared" si="701"/>
        <v>-0.11999999918043613</v>
      </c>
      <c r="AX399" s="10" t="s">
        <v>147</v>
      </c>
      <c r="AY399" s="5">
        <v>0</v>
      </c>
      <c r="AZ399" s="5">
        <f t="shared" si="665"/>
        <v>-0.11999999918043613</v>
      </c>
    </row>
    <row r="400" spans="1:52" s="5" customFormat="1" ht="21.75" customHeight="1">
      <c r="A400" s="109"/>
      <c r="B400" s="146"/>
      <c r="C400" s="114"/>
      <c r="D400" s="6" t="s">
        <v>21</v>
      </c>
      <c r="E400" s="7"/>
      <c r="F400" s="8" t="s">
        <v>47</v>
      </c>
      <c r="G400" s="8">
        <v>328782</v>
      </c>
      <c r="H400" s="9"/>
      <c r="I400" s="9"/>
      <c r="J400" s="9"/>
      <c r="K400" s="9"/>
      <c r="L400" s="9"/>
      <c r="M400" s="9"/>
      <c r="N400" s="9"/>
      <c r="O400" s="9">
        <f>SUM(O396:O399)</f>
        <v>0</v>
      </c>
      <c r="P400" s="9">
        <f t="shared" ref="P400:AD400" si="702">SUM(P396:P399)</f>
        <v>0</v>
      </c>
      <c r="Q400" s="9">
        <f t="shared" si="702"/>
        <v>0</v>
      </c>
      <c r="R400" s="9">
        <f t="shared" si="702"/>
        <v>0</v>
      </c>
      <c r="S400" s="9">
        <f t="shared" si="702"/>
        <v>0</v>
      </c>
      <c r="T400" s="9">
        <f t="shared" si="702"/>
        <v>0</v>
      </c>
      <c r="U400" s="9">
        <f t="shared" si="702"/>
        <v>0</v>
      </c>
      <c r="V400" s="9">
        <f t="shared" si="702"/>
        <v>0</v>
      </c>
      <c r="W400" s="9">
        <f t="shared" si="702"/>
        <v>208000</v>
      </c>
      <c r="X400" s="9">
        <f t="shared" si="702"/>
        <v>4920000</v>
      </c>
      <c r="Y400" s="9">
        <f t="shared" si="702"/>
        <v>821000</v>
      </c>
      <c r="Z400" s="9">
        <f t="shared" si="702"/>
        <v>10913000</v>
      </c>
      <c r="AA400" s="9"/>
      <c r="AB400" s="9"/>
      <c r="AC400" s="9"/>
      <c r="AD400" s="66">
        <f t="shared" si="702"/>
        <v>16862000</v>
      </c>
      <c r="AE400" s="9">
        <f t="shared" ref="AE400:AF400" si="703">SUM(AE396:AE399)</f>
        <v>324526</v>
      </c>
      <c r="AF400" s="9">
        <f t="shared" si="703"/>
        <v>324526</v>
      </c>
      <c r="AG400" s="9">
        <f t="shared" ref="AG400:AW400" si="704">SUM(AG396:AG399)</f>
        <v>24726000</v>
      </c>
      <c r="AH400" s="9">
        <f t="shared" si="704"/>
        <v>0</v>
      </c>
      <c r="AI400" s="9">
        <f t="shared" si="704"/>
        <v>2510000</v>
      </c>
      <c r="AJ400" s="9">
        <f t="shared" si="704"/>
        <v>0</v>
      </c>
      <c r="AK400" s="9">
        <f t="shared" si="704"/>
        <v>880000</v>
      </c>
      <c r="AL400" s="9">
        <f t="shared" si="704"/>
        <v>0</v>
      </c>
      <c r="AM400" s="9">
        <f t="shared" si="704"/>
        <v>518000.00000000006</v>
      </c>
      <c r="AN400" s="9">
        <f t="shared" si="704"/>
        <v>0</v>
      </c>
      <c r="AO400" s="66">
        <f t="shared" si="704"/>
        <v>28634000</v>
      </c>
      <c r="AP400" s="66">
        <f t="shared" si="704"/>
        <v>0</v>
      </c>
      <c r="AQ400" s="66">
        <f t="shared" si="704"/>
        <v>28634000</v>
      </c>
      <c r="AR400" s="9">
        <f t="shared" si="704"/>
        <v>337828.28999999835</v>
      </c>
      <c r="AS400" s="9">
        <f t="shared" si="704"/>
        <v>0</v>
      </c>
      <c r="AT400" s="9">
        <f t="shared" si="704"/>
        <v>0</v>
      </c>
      <c r="AU400" s="9">
        <f t="shared" si="704"/>
        <v>0</v>
      </c>
      <c r="AV400" s="9">
        <f t="shared" si="704"/>
        <v>0</v>
      </c>
      <c r="AW400" s="9">
        <f t="shared" si="704"/>
        <v>29296354.289999999</v>
      </c>
      <c r="AX400" s="10" t="s">
        <v>147</v>
      </c>
      <c r="AY400" s="5">
        <v>27793254</v>
      </c>
      <c r="AZ400" s="5">
        <f t="shared" si="665"/>
        <v>1503100.2899999991</v>
      </c>
    </row>
    <row r="401" spans="1:52" s="4" customFormat="1" ht="21.75" customHeight="1">
      <c r="A401" s="109"/>
      <c r="B401" s="146"/>
      <c r="C401" s="114"/>
      <c r="D401" s="24" t="s">
        <v>22</v>
      </c>
      <c r="E401" s="25">
        <v>564801</v>
      </c>
      <c r="F401" s="37" t="s">
        <v>30</v>
      </c>
      <c r="G401" s="37">
        <v>328782</v>
      </c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>
        <f>SUM(V402:V403)</f>
        <v>0</v>
      </c>
      <c r="W401" s="26">
        <f t="shared" ref="W401:AW401" si="705">SUM(W402:W403)</f>
        <v>0</v>
      </c>
      <c r="X401" s="26">
        <f t="shared" si="705"/>
        <v>720000</v>
      </c>
      <c r="Y401" s="26">
        <f t="shared" si="705"/>
        <v>0</v>
      </c>
      <c r="Z401" s="26">
        <f t="shared" si="705"/>
        <v>1493000</v>
      </c>
      <c r="AA401" s="26"/>
      <c r="AB401" s="26"/>
      <c r="AC401" s="26"/>
      <c r="AD401" s="67">
        <f t="shared" si="705"/>
        <v>2213000</v>
      </c>
      <c r="AE401" s="26">
        <f t="shared" si="705"/>
        <v>0</v>
      </c>
      <c r="AF401" s="26">
        <f t="shared" si="705"/>
        <v>0</v>
      </c>
      <c r="AG401" s="26">
        <f t="shared" si="705"/>
        <v>3632000</v>
      </c>
      <c r="AH401" s="26">
        <f t="shared" si="705"/>
        <v>0</v>
      </c>
      <c r="AI401" s="26">
        <f t="shared" si="705"/>
        <v>99000</v>
      </c>
      <c r="AJ401" s="26">
        <f t="shared" si="705"/>
        <v>0</v>
      </c>
      <c r="AK401" s="26">
        <f t="shared" si="705"/>
        <v>0</v>
      </c>
      <c r="AL401" s="26">
        <f t="shared" si="705"/>
        <v>0</v>
      </c>
      <c r="AM401" s="26">
        <f t="shared" si="705"/>
        <v>0</v>
      </c>
      <c r="AN401" s="26">
        <f t="shared" si="705"/>
        <v>0</v>
      </c>
      <c r="AO401" s="67">
        <f t="shared" si="705"/>
        <v>3731000</v>
      </c>
      <c r="AP401" s="67">
        <f t="shared" si="705"/>
        <v>0</v>
      </c>
      <c r="AQ401" s="67">
        <f t="shared" si="705"/>
        <v>3731000</v>
      </c>
      <c r="AR401" s="26">
        <f t="shared" si="705"/>
        <v>-936.92450000001804</v>
      </c>
      <c r="AS401" s="26">
        <f t="shared" si="705"/>
        <v>0</v>
      </c>
      <c r="AT401" s="26">
        <f t="shared" si="705"/>
        <v>0</v>
      </c>
      <c r="AU401" s="26">
        <f t="shared" si="705"/>
        <v>0</v>
      </c>
      <c r="AV401" s="26">
        <f t="shared" si="705"/>
        <v>0</v>
      </c>
      <c r="AW401" s="26">
        <f t="shared" si="705"/>
        <v>3730063.0754999998</v>
      </c>
      <c r="AX401" s="14" t="s">
        <v>147</v>
      </c>
      <c r="AY401" s="4">
        <f>SUM(AY402:AY403)</f>
        <v>3730063.08</v>
      </c>
      <c r="AZ401" s="4">
        <f t="shared" si="665"/>
        <v>-4.5000002719461918E-3</v>
      </c>
    </row>
    <row r="402" spans="1:52" s="4" customFormat="1" ht="21.75" customHeight="1">
      <c r="A402" s="109"/>
      <c r="B402" s="146"/>
      <c r="C402" s="114"/>
      <c r="D402" s="24"/>
      <c r="E402" s="25"/>
      <c r="F402" s="37" t="s">
        <v>207</v>
      </c>
      <c r="G402" s="37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>
        <f t="shared" si="687"/>
        <v>0</v>
      </c>
      <c r="W402" s="26"/>
      <c r="X402" s="26">
        <f>4800000*2%</f>
        <v>96000</v>
      </c>
      <c r="Y402" s="26"/>
      <c r="Z402" s="26">
        <f>9946835*2%+974.75+88.5499999999884</f>
        <v>200000</v>
      </c>
      <c r="AA402" s="26"/>
      <c r="AB402" s="26"/>
      <c r="AC402" s="26"/>
      <c r="AD402" s="67">
        <f t="shared" ref="AD402:AD405" si="706">SUM(W402:Z402)</f>
        <v>296000</v>
      </c>
      <c r="AE402" s="26"/>
      <c r="AF402" s="26">
        <f t="shared" ref="AF402:AF410" si="707">V402+AE402</f>
        <v>0</v>
      </c>
      <c r="AG402" s="26">
        <f>24202008.07*2%+959.838599999959</f>
        <v>485000</v>
      </c>
      <c r="AH402" s="26"/>
      <c r="AI402" s="26">
        <f>665079.1*2%-959.838599999959+658.256599999959</f>
        <v>13000</v>
      </c>
      <c r="AJ402" s="26"/>
      <c r="AK402" s="26"/>
      <c r="AL402" s="26"/>
      <c r="AM402" s="26"/>
      <c r="AN402" s="26"/>
      <c r="AO402" s="67">
        <f t="shared" si="689"/>
        <v>498000</v>
      </c>
      <c r="AP402" s="67">
        <f t="shared" si="690"/>
        <v>0</v>
      </c>
      <c r="AQ402" s="67">
        <f t="shared" si="691"/>
        <v>498000</v>
      </c>
      <c r="AR402" s="26">
        <v>-658.25659999995901</v>
      </c>
      <c r="AS402" s="26"/>
      <c r="AT402" s="26"/>
      <c r="AU402" s="26"/>
      <c r="AV402" s="26"/>
      <c r="AW402" s="26">
        <f t="shared" si="692"/>
        <v>497341.74340000004</v>
      </c>
      <c r="AX402" s="14" t="s">
        <v>147</v>
      </c>
      <c r="AY402" s="4">
        <v>497341.74</v>
      </c>
      <c r="AZ402" s="4">
        <f t="shared" si="665"/>
        <v>3.4000000450760126E-3</v>
      </c>
    </row>
    <row r="403" spans="1:52" s="4" customFormat="1" ht="21.75" customHeight="1">
      <c r="A403" s="109"/>
      <c r="B403" s="146"/>
      <c r="C403" s="114"/>
      <c r="D403" s="24"/>
      <c r="E403" s="25"/>
      <c r="F403" s="37" t="s">
        <v>42</v>
      </c>
      <c r="G403" s="37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>
        <f t="shared" si="687"/>
        <v>0</v>
      </c>
      <c r="W403" s="26"/>
      <c r="X403" s="26">
        <f>4800000*13%</f>
        <v>624000</v>
      </c>
      <c r="Y403" s="26"/>
      <c r="Z403" s="26">
        <f>9946835*13%-88.5499999999884</f>
        <v>1293000</v>
      </c>
      <c r="AA403" s="26"/>
      <c r="AB403" s="26"/>
      <c r="AC403" s="26"/>
      <c r="AD403" s="67">
        <f t="shared" si="706"/>
        <v>1917000</v>
      </c>
      <c r="AE403" s="26"/>
      <c r="AF403" s="26">
        <f t="shared" si="707"/>
        <v>0</v>
      </c>
      <c r="AG403" s="26">
        <f>24202008.07*13%+738.950900000054</f>
        <v>3147000</v>
      </c>
      <c r="AH403" s="26"/>
      <c r="AI403" s="26">
        <f>665079.1*13%-738.950900000054+278.667900000059</f>
        <v>86000</v>
      </c>
      <c r="AJ403" s="26"/>
      <c r="AK403" s="26"/>
      <c r="AL403" s="26"/>
      <c r="AM403" s="26"/>
      <c r="AN403" s="26"/>
      <c r="AO403" s="67">
        <f t="shared" si="689"/>
        <v>3233000</v>
      </c>
      <c r="AP403" s="67">
        <f t="shared" si="690"/>
        <v>0</v>
      </c>
      <c r="AQ403" s="67">
        <f t="shared" si="691"/>
        <v>3233000</v>
      </c>
      <c r="AR403" s="26">
        <v>-278.66790000005898</v>
      </c>
      <c r="AS403" s="26"/>
      <c r="AT403" s="26"/>
      <c r="AU403" s="26"/>
      <c r="AV403" s="26"/>
      <c r="AW403" s="26">
        <f t="shared" si="692"/>
        <v>3232721.3320999998</v>
      </c>
      <c r="AX403" s="14" t="s">
        <v>147</v>
      </c>
      <c r="AY403" s="4">
        <v>3232721.34</v>
      </c>
      <c r="AZ403" s="4">
        <f t="shared" si="665"/>
        <v>-7.9000000841915607E-3</v>
      </c>
    </row>
    <row r="404" spans="1:52" s="4" customFormat="1" ht="30">
      <c r="A404" s="109"/>
      <c r="B404" s="146"/>
      <c r="C404" s="114"/>
      <c r="D404" s="24" t="s">
        <v>22</v>
      </c>
      <c r="E404" s="25">
        <v>564802</v>
      </c>
      <c r="F404" s="37" t="s">
        <v>31</v>
      </c>
      <c r="G404" s="37">
        <v>328782</v>
      </c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>
        <f t="shared" si="687"/>
        <v>0</v>
      </c>
      <c r="W404" s="26"/>
      <c r="X404" s="26">
        <f>4800000*85%</f>
        <v>4080000</v>
      </c>
      <c r="Y404" s="26"/>
      <c r="Z404" s="26">
        <f>9946835*85%+190.25</f>
        <v>8455000</v>
      </c>
      <c r="AA404" s="26"/>
      <c r="AB404" s="26"/>
      <c r="AC404" s="26"/>
      <c r="AD404" s="67">
        <f t="shared" si="706"/>
        <v>12535000</v>
      </c>
      <c r="AE404" s="26"/>
      <c r="AF404" s="26">
        <f t="shared" si="707"/>
        <v>0</v>
      </c>
      <c r="AG404" s="26">
        <f>24202008.07*85%+293.140500001609</f>
        <v>20572000</v>
      </c>
      <c r="AH404" s="26"/>
      <c r="AI404" s="26">
        <f>665079.1*85%-293.140500001609+975.905500001623</f>
        <v>566000</v>
      </c>
      <c r="AJ404" s="26"/>
      <c r="AK404" s="26"/>
      <c r="AL404" s="26"/>
      <c r="AM404" s="26"/>
      <c r="AN404" s="26"/>
      <c r="AO404" s="67">
        <f t="shared" si="689"/>
        <v>21138000</v>
      </c>
      <c r="AP404" s="67">
        <f t="shared" si="690"/>
        <v>0</v>
      </c>
      <c r="AQ404" s="67">
        <f t="shared" si="691"/>
        <v>21138000</v>
      </c>
      <c r="AR404" s="26">
        <v>-975.90550000162295</v>
      </c>
      <c r="AS404" s="26"/>
      <c r="AT404" s="26"/>
      <c r="AU404" s="26"/>
      <c r="AV404" s="26"/>
      <c r="AW404" s="26">
        <f t="shared" si="692"/>
        <v>21137024.094499998</v>
      </c>
      <c r="AX404" s="14" t="s">
        <v>147</v>
      </c>
      <c r="AY404" s="4">
        <v>21137024.09</v>
      </c>
      <c r="AZ404" s="4">
        <f t="shared" si="665"/>
        <v>4.4999979436397552E-3</v>
      </c>
    </row>
    <row r="405" spans="1:52" s="4" customFormat="1" ht="21.75" customHeight="1">
      <c r="A405" s="109"/>
      <c r="B405" s="146"/>
      <c r="C405" s="114"/>
      <c r="D405" s="24" t="s">
        <v>22</v>
      </c>
      <c r="E405" s="25">
        <v>564803</v>
      </c>
      <c r="F405" s="37" t="s">
        <v>28</v>
      </c>
      <c r="G405" s="37">
        <v>328782</v>
      </c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>
        <f t="shared" si="687"/>
        <v>0</v>
      </c>
      <c r="W405" s="26">
        <f>207840+160</f>
        <v>208000</v>
      </c>
      <c r="X405" s="26">
        <f>119150+850</f>
        <v>120000</v>
      </c>
      <c r="Y405" s="26">
        <f>821617-850+233</f>
        <v>821000</v>
      </c>
      <c r="Z405" s="26">
        <f>514294-233+939+450000</f>
        <v>965000</v>
      </c>
      <c r="AA405" s="26"/>
      <c r="AB405" s="26"/>
      <c r="AC405" s="26"/>
      <c r="AD405" s="67">
        <f t="shared" si="706"/>
        <v>2114000</v>
      </c>
      <c r="AE405" s="26">
        <v>324526</v>
      </c>
      <c r="AF405" s="26">
        <f t="shared" si="707"/>
        <v>324526</v>
      </c>
      <c r="AG405" s="26">
        <f>521729.93+270.07</f>
        <v>522000</v>
      </c>
      <c r="AH405" s="26"/>
      <c r="AI405" s="26">
        <f>790890.47+1053763.83-270.07+615.77</f>
        <v>1845000</v>
      </c>
      <c r="AJ405" s="26"/>
      <c r="AK405" s="26">
        <f>879646.55-615.77+969.22</f>
        <v>880000</v>
      </c>
      <c r="AL405" s="26"/>
      <c r="AM405" s="26">
        <f>518358.34-969.22+610.88</f>
        <v>518000.00000000006</v>
      </c>
      <c r="AN405" s="26"/>
      <c r="AO405" s="67">
        <f t="shared" si="689"/>
        <v>3765000</v>
      </c>
      <c r="AP405" s="67">
        <f t="shared" si="690"/>
        <v>0</v>
      </c>
      <c r="AQ405" s="67">
        <f t="shared" si="691"/>
        <v>3765000</v>
      </c>
      <c r="AR405" s="26">
        <v>339741.12</v>
      </c>
      <c r="AS405" s="26"/>
      <c r="AT405" s="26"/>
      <c r="AU405" s="26"/>
      <c r="AV405" s="26"/>
      <c r="AW405" s="26">
        <f t="shared" si="692"/>
        <v>4429267.12</v>
      </c>
      <c r="AX405" s="14" t="s">
        <v>147</v>
      </c>
      <c r="AY405" s="4">
        <v>4429267.24</v>
      </c>
      <c r="AZ405" s="41">
        <f t="shared" si="665"/>
        <v>-0.12000000011175871</v>
      </c>
    </row>
    <row r="406" spans="1:52" s="4" customFormat="1" ht="21.75" customHeight="1">
      <c r="A406" s="110"/>
      <c r="B406" s="147"/>
      <c r="C406" s="115"/>
      <c r="D406" s="24" t="s">
        <v>22</v>
      </c>
      <c r="E406" s="25"/>
      <c r="F406" s="25" t="s">
        <v>29</v>
      </c>
      <c r="G406" s="37">
        <v>328782</v>
      </c>
      <c r="H406" s="26"/>
      <c r="I406" s="26"/>
      <c r="J406" s="26"/>
      <c r="K406" s="26"/>
      <c r="L406" s="26"/>
      <c r="M406" s="26"/>
      <c r="N406" s="26"/>
      <c r="O406" s="26">
        <f>SUM(O401:O405)</f>
        <v>0</v>
      </c>
      <c r="P406" s="26"/>
      <c r="Q406" s="26"/>
      <c r="R406" s="26"/>
      <c r="S406" s="26"/>
      <c r="T406" s="26"/>
      <c r="U406" s="26"/>
      <c r="V406" s="26">
        <f>V401+V404+V405</f>
        <v>0</v>
      </c>
      <c r="W406" s="26">
        <f t="shared" ref="W406:AW406" si="708">W401+W404+W405</f>
        <v>208000</v>
      </c>
      <c r="X406" s="26">
        <f t="shared" si="708"/>
        <v>4920000</v>
      </c>
      <c r="Y406" s="26">
        <f t="shared" si="708"/>
        <v>821000</v>
      </c>
      <c r="Z406" s="26">
        <f t="shared" si="708"/>
        <v>10913000</v>
      </c>
      <c r="AA406" s="26"/>
      <c r="AB406" s="26"/>
      <c r="AC406" s="26"/>
      <c r="AD406" s="67">
        <f t="shared" si="708"/>
        <v>16862000</v>
      </c>
      <c r="AE406" s="26">
        <f t="shared" si="708"/>
        <v>324526</v>
      </c>
      <c r="AF406" s="26">
        <f t="shared" si="708"/>
        <v>324526</v>
      </c>
      <c r="AG406" s="26">
        <f t="shared" si="708"/>
        <v>24726000</v>
      </c>
      <c r="AH406" s="26">
        <f t="shared" si="708"/>
        <v>0</v>
      </c>
      <c r="AI406" s="26">
        <f t="shared" si="708"/>
        <v>2510000</v>
      </c>
      <c r="AJ406" s="26">
        <f t="shared" si="708"/>
        <v>0</v>
      </c>
      <c r="AK406" s="26">
        <f t="shared" si="708"/>
        <v>880000</v>
      </c>
      <c r="AL406" s="26">
        <f t="shared" si="708"/>
        <v>0</v>
      </c>
      <c r="AM406" s="26">
        <f t="shared" si="708"/>
        <v>518000.00000000006</v>
      </c>
      <c r="AN406" s="26">
        <f t="shared" si="708"/>
        <v>0</v>
      </c>
      <c r="AO406" s="67">
        <f t="shared" si="708"/>
        <v>28634000</v>
      </c>
      <c r="AP406" s="67">
        <f t="shared" si="708"/>
        <v>0</v>
      </c>
      <c r="AQ406" s="67">
        <f t="shared" si="708"/>
        <v>28634000</v>
      </c>
      <c r="AR406" s="26">
        <f t="shared" si="708"/>
        <v>337828.28999999835</v>
      </c>
      <c r="AS406" s="26">
        <f t="shared" si="708"/>
        <v>0</v>
      </c>
      <c r="AT406" s="26">
        <f t="shared" si="708"/>
        <v>0</v>
      </c>
      <c r="AU406" s="26">
        <f t="shared" si="708"/>
        <v>0</v>
      </c>
      <c r="AV406" s="26">
        <f t="shared" si="708"/>
        <v>0</v>
      </c>
      <c r="AW406" s="26">
        <f t="shared" si="708"/>
        <v>29296354.289999999</v>
      </c>
      <c r="AX406" s="14" t="s">
        <v>147</v>
      </c>
      <c r="AY406" s="4">
        <v>29296354.41</v>
      </c>
      <c r="AZ406" s="4">
        <f t="shared" si="665"/>
        <v>-0.12000000104308128</v>
      </c>
    </row>
    <row r="407" spans="1:52" s="5" customFormat="1" ht="135">
      <c r="A407" s="109" t="s">
        <v>270</v>
      </c>
      <c r="B407" s="146" t="s">
        <v>26</v>
      </c>
      <c r="C407" s="114">
        <v>66</v>
      </c>
      <c r="D407" s="6" t="s">
        <v>21</v>
      </c>
      <c r="E407" s="7">
        <v>42109304</v>
      </c>
      <c r="F407" s="8" t="s">
        <v>134</v>
      </c>
      <c r="G407" s="8" t="s">
        <v>208</v>
      </c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>
        <f t="shared" si="687"/>
        <v>0</v>
      </c>
      <c r="W407" s="9"/>
      <c r="X407" s="9"/>
      <c r="Y407" s="9"/>
      <c r="Z407" s="9">
        <f>1292252+748</f>
        <v>1293000</v>
      </c>
      <c r="AA407" s="9"/>
      <c r="AB407" s="9"/>
      <c r="AC407" s="9"/>
      <c r="AD407" s="66">
        <f t="shared" ref="AD407:AD410" si="709">SUM(W407:Z407)</f>
        <v>1293000</v>
      </c>
      <c r="AE407" s="9"/>
      <c r="AF407" s="9">
        <f t="shared" si="707"/>
        <v>0</v>
      </c>
      <c r="AG407" s="9">
        <f>238000</f>
        <v>238000</v>
      </c>
      <c r="AH407" s="9"/>
      <c r="AI407" s="9">
        <v>668000</v>
      </c>
      <c r="AJ407" s="9"/>
      <c r="AK407" s="9"/>
      <c r="AL407" s="9"/>
      <c r="AM407" s="9"/>
      <c r="AN407" s="9"/>
      <c r="AO407" s="66">
        <f t="shared" si="689"/>
        <v>906000</v>
      </c>
      <c r="AP407" s="66">
        <f t="shared" si="690"/>
        <v>0</v>
      </c>
      <c r="AQ407" s="66">
        <f t="shared" si="691"/>
        <v>906000</v>
      </c>
      <c r="AR407" s="9">
        <v>-593.41300000063995</v>
      </c>
      <c r="AS407" s="9"/>
      <c r="AT407" s="9"/>
      <c r="AU407" s="9"/>
      <c r="AV407" s="9"/>
      <c r="AW407" s="9">
        <f t="shared" si="692"/>
        <v>905406.58699999936</v>
      </c>
      <c r="AX407" s="10" t="s">
        <v>147</v>
      </c>
      <c r="AY407" s="5">
        <v>1292252</v>
      </c>
      <c r="AZ407" s="5">
        <f t="shared" si="665"/>
        <v>-386845.41300000064</v>
      </c>
    </row>
    <row r="408" spans="1:52" s="5" customFormat="1" ht="60">
      <c r="A408" s="109"/>
      <c r="B408" s="146"/>
      <c r="C408" s="114"/>
      <c r="D408" s="6" t="s">
        <v>21</v>
      </c>
      <c r="E408" s="7" t="s">
        <v>206</v>
      </c>
      <c r="F408" s="8" t="s">
        <v>144</v>
      </c>
      <c r="G408" s="8" t="s">
        <v>208</v>
      </c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>
        <f t="shared" si="687"/>
        <v>0</v>
      </c>
      <c r="W408" s="9"/>
      <c r="X408" s="9"/>
      <c r="Y408" s="9"/>
      <c r="Z408" s="9">
        <f>8449340+660</f>
        <v>8450000</v>
      </c>
      <c r="AA408" s="9"/>
      <c r="AB408" s="9"/>
      <c r="AC408" s="9"/>
      <c r="AD408" s="66">
        <f t="shared" si="709"/>
        <v>8450000</v>
      </c>
      <c r="AE408" s="9"/>
      <c r="AF408" s="9">
        <f t="shared" si="707"/>
        <v>0</v>
      </c>
      <c r="AG408" s="9">
        <f>1552000-AF409+AF415+AF416+766.129999999888</f>
        <v>1546000</v>
      </c>
      <c r="AH408" s="9"/>
      <c r="AI408" s="9">
        <v>4369000</v>
      </c>
      <c r="AJ408" s="9"/>
      <c r="AK408" s="9"/>
      <c r="AL408" s="9"/>
      <c r="AM408" s="9"/>
      <c r="AN408" s="9"/>
      <c r="AO408" s="66">
        <f t="shared" si="689"/>
        <v>5915000</v>
      </c>
      <c r="AP408" s="66">
        <f t="shared" si="690"/>
        <v>0</v>
      </c>
      <c r="AQ408" s="66">
        <f t="shared" si="691"/>
        <v>5915000</v>
      </c>
      <c r="AR408" s="9">
        <f>-766.129999999888-526.051399999996</f>
        <v>-1292.181399999884</v>
      </c>
      <c r="AS408" s="9"/>
      <c r="AT408" s="9"/>
      <c r="AU408" s="9"/>
      <c r="AV408" s="9"/>
      <c r="AW408" s="9">
        <f t="shared" si="692"/>
        <v>5913707.8185999999</v>
      </c>
      <c r="AX408" s="10" t="s">
        <v>147</v>
      </c>
      <c r="AY408" s="5">
        <v>8449340</v>
      </c>
      <c r="AZ408" s="5">
        <f t="shared" si="665"/>
        <v>-2535632.1814000001</v>
      </c>
    </row>
    <row r="409" spans="1:52" s="5" customFormat="1" ht="30">
      <c r="A409" s="109"/>
      <c r="B409" s="146"/>
      <c r="C409" s="114"/>
      <c r="D409" s="6" t="s">
        <v>21</v>
      </c>
      <c r="E409" s="7">
        <v>45104803</v>
      </c>
      <c r="F409" s="8" t="s">
        <v>243</v>
      </c>
      <c r="G409" s="8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66">
        <f t="shared" si="709"/>
        <v>0</v>
      </c>
      <c r="AE409" s="9">
        <v>2922477.59</v>
      </c>
      <c r="AF409" s="9">
        <f t="shared" si="707"/>
        <v>2922477.59</v>
      </c>
      <c r="AG409" s="9"/>
      <c r="AH409" s="9"/>
      <c r="AI409" s="9"/>
      <c r="AJ409" s="9"/>
      <c r="AK409" s="9"/>
      <c r="AL409" s="9"/>
      <c r="AM409" s="9"/>
      <c r="AN409" s="9"/>
      <c r="AO409" s="66">
        <f t="shared" si="689"/>
        <v>0</v>
      </c>
      <c r="AP409" s="66">
        <f t="shared" si="690"/>
        <v>0</v>
      </c>
      <c r="AQ409" s="66">
        <f t="shared" si="691"/>
        <v>0</v>
      </c>
      <c r="AR409" s="9"/>
      <c r="AS409" s="9"/>
      <c r="AT409" s="9"/>
      <c r="AU409" s="9"/>
      <c r="AV409" s="9"/>
      <c r="AW409" s="9">
        <f t="shared" si="692"/>
        <v>2922477.59</v>
      </c>
      <c r="AX409" s="10" t="s">
        <v>147</v>
      </c>
    </row>
    <row r="410" spans="1:52" s="5" customFormat="1" ht="75">
      <c r="A410" s="109"/>
      <c r="B410" s="146"/>
      <c r="C410" s="114"/>
      <c r="D410" s="6" t="s">
        <v>21</v>
      </c>
      <c r="E410" s="7">
        <v>431014</v>
      </c>
      <c r="F410" s="8" t="s">
        <v>83</v>
      </c>
      <c r="G410" s="8" t="s">
        <v>208</v>
      </c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>
        <f t="shared" si="687"/>
        <v>0</v>
      </c>
      <c r="W410" s="9">
        <f>W188</f>
        <v>126000</v>
      </c>
      <c r="X410" s="9">
        <f t="shared" ref="X410:AV410" si="710">X188</f>
        <v>142000</v>
      </c>
      <c r="Y410" s="9">
        <f t="shared" si="710"/>
        <v>160000</v>
      </c>
      <c r="Z410" s="9">
        <f t="shared" si="710"/>
        <v>664000</v>
      </c>
      <c r="AA410" s="9"/>
      <c r="AB410" s="9"/>
      <c r="AC410" s="9"/>
      <c r="AD410" s="66">
        <f t="shared" si="709"/>
        <v>1092000</v>
      </c>
      <c r="AE410" s="9">
        <f t="shared" si="710"/>
        <v>368139.64</v>
      </c>
      <c r="AF410" s="9">
        <f t="shared" si="707"/>
        <v>368139.64</v>
      </c>
      <c r="AG410" s="9">
        <f t="shared" si="710"/>
        <v>114000</v>
      </c>
      <c r="AH410" s="9">
        <f t="shared" si="710"/>
        <v>0</v>
      </c>
      <c r="AI410" s="9">
        <f t="shared" si="710"/>
        <v>616000</v>
      </c>
      <c r="AJ410" s="9">
        <f t="shared" si="710"/>
        <v>0</v>
      </c>
      <c r="AK410" s="9">
        <f t="shared" si="710"/>
        <v>0</v>
      </c>
      <c r="AL410" s="9">
        <f t="shared" si="710"/>
        <v>0</v>
      </c>
      <c r="AM410" s="9">
        <f t="shared" si="710"/>
        <v>0</v>
      </c>
      <c r="AN410" s="9">
        <f t="shared" si="710"/>
        <v>0</v>
      </c>
      <c r="AO410" s="66">
        <f t="shared" si="689"/>
        <v>730000</v>
      </c>
      <c r="AP410" s="66">
        <f t="shared" si="690"/>
        <v>0</v>
      </c>
      <c r="AQ410" s="66">
        <f t="shared" si="691"/>
        <v>730000</v>
      </c>
      <c r="AR410" s="9">
        <f t="shared" si="710"/>
        <v>-1410.315600000016</v>
      </c>
      <c r="AS410" s="9">
        <f t="shared" si="710"/>
        <v>0</v>
      </c>
      <c r="AT410" s="9">
        <f t="shared" si="710"/>
        <v>0</v>
      </c>
      <c r="AU410" s="9">
        <f t="shared" si="710"/>
        <v>0</v>
      </c>
      <c r="AV410" s="9">
        <f t="shared" si="710"/>
        <v>0</v>
      </c>
      <c r="AW410" s="9">
        <f t="shared" si="692"/>
        <v>1096729.3244</v>
      </c>
      <c r="AX410" s="10" t="s">
        <v>147</v>
      </c>
      <c r="AY410" s="5">
        <v>0</v>
      </c>
      <c r="AZ410" s="5">
        <f t="shared" si="665"/>
        <v>1096729.3244</v>
      </c>
    </row>
    <row r="411" spans="1:52" s="5" customFormat="1" ht="30">
      <c r="A411" s="109"/>
      <c r="B411" s="146"/>
      <c r="C411" s="114"/>
      <c r="D411" s="6" t="s">
        <v>21</v>
      </c>
      <c r="E411" s="7"/>
      <c r="F411" s="8" t="s">
        <v>96</v>
      </c>
      <c r="G411" s="8" t="s">
        <v>208</v>
      </c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>
        <f>V418-V407-V408-V410-V409</f>
        <v>0</v>
      </c>
      <c r="W411" s="9">
        <f t="shared" ref="W411:AE411" si="711">W418-W407-W408-W410-W409</f>
        <v>0</v>
      </c>
      <c r="X411" s="9">
        <f t="shared" si="711"/>
        <v>0</v>
      </c>
      <c r="Y411" s="9">
        <f t="shared" si="711"/>
        <v>0</v>
      </c>
      <c r="Z411" s="9">
        <f t="shared" si="711"/>
        <v>0</v>
      </c>
      <c r="AA411" s="9">
        <f t="shared" si="711"/>
        <v>0</v>
      </c>
      <c r="AB411" s="9">
        <f t="shared" si="711"/>
        <v>0</v>
      </c>
      <c r="AC411" s="9">
        <f t="shared" si="711"/>
        <v>0</v>
      </c>
      <c r="AD411" s="66">
        <f t="shared" si="711"/>
        <v>0</v>
      </c>
      <c r="AE411" s="9">
        <f t="shared" si="711"/>
        <v>-6766.8100000000559</v>
      </c>
      <c r="AF411" s="9">
        <f t="shared" ref="AF411:AW411" si="712">AF418-AF407-AF408-AF410-AF409</f>
        <v>-6766.8100000000559</v>
      </c>
      <c r="AG411" s="9">
        <f t="shared" si="712"/>
        <v>6000</v>
      </c>
      <c r="AH411" s="9">
        <f t="shared" si="712"/>
        <v>0</v>
      </c>
      <c r="AI411" s="9">
        <f t="shared" si="712"/>
        <v>0</v>
      </c>
      <c r="AJ411" s="9">
        <f t="shared" si="712"/>
        <v>0</v>
      </c>
      <c r="AK411" s="9">
        <f t="shared" si="712"/>
        <v>0</v>
      </c>
      <c r="AL411" s="9">
        <f t="shared" si="712"/>
        <v>0</v>
      </c>
      <c r="AM411" s="9">
        <f t="shared" si="712"/>
        <v>0</v>
      </c>
      <c r="AN411" s="9">
        <f t="shared" si="712"/>
        <v>0</v>
      </c>
      <c r="AO411" s="66">
        <f t="shared" si="712"/>
        <v>6000</v>
      </c>
      <c r="AP411" s="66">
        <f t="shared" si="712"/>
        <v>0</v>
      </c>
      <c r="AQ411" s="66">
        <f t="shared" si="712"/>
        <v>6000</v>
      </c>
      <c r="AR411" s="9">
        <f t="shared" si="712"/>
        <v>766.12999999988801</v>
      </c>
      <c r="AS411" s="9">
        <f t="shared" si="712"/>
        <v>0</v>
      </c>
      <c r="AT411" s="9">
        <f t="shared" si="712"/>
        <v>0</v>
      </c>
      <c r="AU411" s="9">
        <f t="shared" si="712"/>
        <v>0</v>
      </c>
      <c r="AV411" s="9">
        <f t="shared" si="712"/>
        <v>0</v>
      </c>
      <c r="AW411" s="9">
        <f t="shared" si="712"/>
        <v>-0.6799999987706542</v>
      </c>
      <c r="AX411" s="10" t="s">
        <v>147</v>
      </c>
      <c r="AY411" s="5">
        <v>1091629.1500000004</v>
      </c>
      <c r="AZ411" s="5">
        <f t="shared" si="665"/>
        <v>-1091629.8299999991</v>
      </c>
    </row>
    <row r="412" spans="1:52" s="5" customFormat="1" ht="21.75" customHeight="1">
      <c r="A412" s="109"/>
      <c r="B412" s="146"/>
      <c r="C412" s="114"/>
      <c r="D412" s="6" t="s">
        <v>21</v>
      </c>
      <c r="E412" s="7"/>
      <c r="F412" s="8" t="s">
        <v>47</v>
      </c>
      <c r="G412" s="8" t="s">
        <v>208</v>
      </c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>
        <f t="shared" ref="V412" si="713">SUM(V407:V411)</f>
        <v>0</v>
      </c>
      <c r="W412" s="9">
        <f t="shared" ref="W412" si="714">SUM(W407:W411)</f>
        <v>126000</v>
      </c>
      <c r="X412" s="9">
        <f t="shared" ref="X412" si="715">SUM(X407:X411)</f>
        <v>142000</v>
      </c>
      <c r="Y412" s="9">
        <f t="shared" ref="Y412" si="716">SUM(Y407:Y411)</f>
        <v>160000</v>
      </c>
      <c r="Z412" s="9">
        <f t="shared" ref="Z412" si="717">SUM(Z407:Z411)</f>
        <v>10407000</v>
      </c>
      <c r="AA412" s="9"/>
      <c r="AB412" s="9"/>
      <c r="AC412" s="9"/>
      <c r="AD412" s="66">
        <f t="shared" ref="AD412:AE412" si="718">SUM(AD407:AD411)</f>
        <v>10835000</v>
      </c>
      <c r="AE412" s="9">
        <f t="shared" si="718"/>
        <v>3283850.42</v>
      </c>
      <c r="AF412" s="9">
        <f t="shared" ref="AF412:AW412" si="719">SUM(AF407:AF411)</f>
        <v>3283850.42</v>
      </c>
      <c r="AG412" s="9">
        <f t="shared" si="719"/>
        <v>1904000</v>
      </c>
      <c r="AH412" s="9">
        <f t="shared" si="719"/>
        <v>0</v>
      </c>
      <c r="AI412" s="9">
        <f t="shared" si="719"/>
        <v>5653000</v>
      </c>
      <c r="AJ412" s="9">
        <f t="shared" si="719"/>
        <v>0</v>
      </c>
      <c r="AK412" s="9">
        <f t="shared" si="719"/>
        <v>0</v>
      </c>
      <c r="AL412" s="9">
        <f t="shared" si="719"/>
        <v>0</v>
      </c>
      <c r="AM412" s="9">
        <f t="shared" si="719"/>
        <v>0</v>
      </c>
      <c r="AN412" s="9">
        <f t="shared" si="719"/>
        <v>0</v>
      </c>
      <c r="AO412" s="66">
        <f t="shared" si="719"/>
        <v>7557000</v>
      </c>
      <c r="AP412" s="66">
        <f t="shared" si="719"/>
        <v>0</v>
      </c>
      <c r="AQ412" s="66">
        <f t="shared" si="719"/>
        <v>7557000</v>
      </c>
      <c r="AR412" s="9">
        <f t="shared" si="719"/>
        <v>-2529.7800000006519</v>
      </c>
      <c r="AS412" s="9">
        <f t="shared" si="719"/>
        <v>0</v>
      </c>
      <c r="AT412" s="9">
        <f t="shared" si="719"/>
        <v>0</v>
      </c>
      <c r="AU412" s="9">
        <f t="shared" si="719"/>
        <v>0</v>
      </c>
      <c r="AV412" s="9">
        <f t="shared" si="719"/>
        <v>0</v>
      </c>
      <c r="AW412" s="9">
        <f t="shared" si="719"/>
        <v>10838320.640000001</v>
      </c>
      <c r="AX412" s="10" t="s">
        <v>147</v>
      </c>
      <c r="AY412" s="5">
        <v>10833221.15</v>
      </c>
      <c r="AZ412" s="5">
        <f t="shared" si="665"/>
        <v>5099.4900000002235</v>
      </c>
    </row>
    <row r="413" spans="1:52" s="4" customFormat="1" ht="21.75" customHeight="1">
      <c r="A413" s="109"/>
      <c r="B413" s="146"/>
      <c r="C413" s="114"/>
      <c r="D413" s="24" t="s">
        <v>22</v>
      </c>
      <c r="E413" s="25">
        <v>564801</v>
      </c>
      <c r="F413" s="37" t="s">
        <v>30</v>
      </c>
      <c r="G413" s="37" t="s">
        <v>208</v>
      </c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>
        <f>SUM(V414:V415)</f>
        <v>0</v>
      </c>
      <c r="W413" s="26">
        <f t="shared" ref="W413" si="720">SUM(W414:W415)</f>
        <v>0</v>
      </c>
      <c r="X413" s="26">
        <f t="shared" ref="X413" si="721">SUM(X414:X415)</f>
        <v>0</v>
      </c>
      <c r="Y413" s="26">
        <f t="shared" ref="Y413" si="722">SUM(Y414:Y415)</f>
        <v>0</v>
      </c>
      <c r="Z413" s="26">
        <f t="shared" ref="Z413" si="723">SUM(Z414:Z415)</f>
        <v>1492000</v>
      </c>
      <c r="AA413" s="26"/>
      <c r="AB413" s="26"/>
      <c r="AC413" s="26"/>
      <c r="AD413" s="67">
        <f t="shared" ref="AD413:AE413" si="724">SUM(AD414:AD415)</f>
        <v>1492000</v>
      </c>
      <c r="AE413" s="26">
        <f t="shared" si="724"/>
        <v>446282.36</v>
      </c>
      <c r="AF413" s="26">
        <f t="shared" ref="AF413:AW413" si="725">SUM(AF414:AF415)</f>
        <v>446282.36</v>
      </c>
      <c r="AG413" s="26">
        <f t="shared" si="725"/>
        <v>275000</v>
      </c>
      <c r="AH413" s="26">
        <f t="shared" si="725"/>
        <v>0</v>
      </c>
      <c r="AI413" s="26">
        <f t="shared" si="725"/>
        <v>771000</v>
      </c>
      <c r="AJ413" s="26">
        <f t="shared" si="725"/>
        <v>0</v>
      </c>
      <c r="AK413" s="26">
        <f t="shared" si="725"/>
        <v>0</v>
      </c>
      <c r="AL413" s="26">
        <f t="shared" si="725"/>
        <v>0</v>
      </c>
      <c r="AM413" s="26">
        <f t="shared" si="725"/>
        <v>0</v>
      </c>
      <c r="AN413" s="26">
        <f t="shared" si="725"/>
        <v>0</v>
      </c>
      <c r="AO413" s="67">
        <f t="shared" si="725"/>
        <v>1046000</v>
      </c>
      <c r="AP413" s="67">
        <f t="shared" si="725"/>
        <v>0</v>
      </c>
      <c r="AQ413" s="67">
        <f t="shared" si="725"/>
        <v>1046000</v>
      </c>
      <c r="AR413" s="26">
        <f t="shared" si="725"/>
        <v>-1222.367000000012</v>
      </c>
      <c r="AS413" s="26">
        <f t="shared" si="725"/>
        <v>0</v>
      </c>
      <c r="AT413" s="26">
        <f t="shared" si="725"/>
        <v>0</v>
      </c>
      <c r="AU413" s="26">
        <f t="shared" si="725"/>
        <v>0</v>
      </c>
      <c r="AV413" s="26">
        <f t="shared" si="725"/>
        <v>0</v>
      </c>
      <c r="AW413" s="26">
        <f t="shared" si="725"/>
        <v>1491059.993</v>
      </c>
      <c r="AX413" s="14" t="s">
        <v>147</v>
      </c>
      <c r="AY413" s="4">
        <v>1491060</v>
      </c>
      <c r="AZ413" s="4">
        <f t="shared" si="665"/>
        <v>-6.9999999832361937E-3</v>
      </c>
    </row>
    <row r="414" spans="1:52" s="4" customFormat="1" ht="21.75" customHeight="1">
      <c r="A414" s="109"/>
      <c r="B414" s="146"/>
      <c r="C414" s="114"/>
      <c r="D414" s="24"/>
      <c r="E414" s="25"/>
      <c r="F414" s="37" t="s">
        <v>207</v>
      </c>
      <c r="G414" s="37" t="s">
        <v>208</v>
      </c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>
        <f t="shared" si="687"/>
        <v>0</v>
      </c>
      <c r="W414" s="26"/>
      <c r="X414" s="26"/>
      <c r="Y414" s="26"/>
      <c r="Z414" s="26">
        <f>198808+192</f>
        <v>199000</v>
      </c>
      <c r="AA414" s="26"/>
      <c r="AB414" s="26"/>
      <c r="AC414" s="26"/>
      <c r="AD414" s="67">
        <f t="shared" ref="AD414:AD417" si="726">SUM(W414:Z414)</f>
        <v>199000</v>
      </c>
      <c r="AE414" s="26">
        <v>59504.3</v>
      </c>
      <c r="AF414" s="26">
        <f t="shared" ref="AF414:AF417" si="727">V414+AE414</f>
        <v>59504.3</v>
      </c>
      <c r="AG414" s="26">
        <v>37000</v>
      </c>
      <c r="AH414" s="26"/>
      <c r="AI414" s="26">
        <v>103000</v>
      </c>
      <c r="AJ414" s="26"/>
      <c r="AK414" s="26"/>
      <c r="AL414" s="26"/>
      <c r="AM414" s="26"/>
      <c r="AN414" s="26"/>
      <c r="AO414" s="67">
        <f t="shared" si="689"/>
        <v>140000</v>
      </c>
      <c r="AP414" s="67">
        <f t="shared" si="690"/>
        <v>0</v>
      </c>
      <c r="AQ414" s="67">
        <f t="shared" si="691"/>
        <v>140000</v>
      </c>
      <c r="AR414" s="26">
        <v>-696.31560000001605</v>
      </c>
      <c r="AS414" s="26"/>
      <c r="AT414" s="26"/>
      <c r="AU414" s="26"/>
      <c r="AV414" s="26"/>
      <c r="AW414" s="26">
        <f t="shared" si="692"/>
        <v>198807.98439999999</v>
      </c>
      <c r="AX414" s="14" t="s">
        <v>147</v>
      </c>
      <c r="AY414" s="4">
        <v>198808</v>
      </c>
      <c r="AZ414" s="4">
        <f t="shared" si="665"/>
        <v>-1.5600000013364479E-2</v>
      </c>
    </row>
    <row r="415" spans="1:52" s="4" customFormat="1" ht="21.75" customHeight="1">
      <c r="A415" s="109"/>
      <c r="B415" s="146"/>
      <c r="C415" s="114"/>
      <c r="D415" s="24"/>
      <c r="E415" s="25"/>
      <c r="F415" s="37" t="s">
        <v>42</v>
      </c>
      <c r="G415" s="37" t="s">
        <v>208</v>
      </c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>
        <f t="shared" si="687"/>
        <v>0</v>
      </c>
      <c r="W415" s="26"/>
      <c r="X415" s="26"/>
      <c r="Y415" s="26"/>
      <c r="Z415" s="26">
        <f>1292252+748</f>
        <v>1293000</v>
      </c>
      <c r="AA415" s="26"/>
      <c r="AB415" s="26"/>
      <c r="AC415" s="26"/>
      <c r="AD415" s="67">
        <f t="shared" si="726"/>
        <v>1293000</v>
      </c>
      <c r="AE415" s="26">
        <v>386778.06</v>
      </c>
      <c r="AF415" s="26">
        <f t="shared" si="727"/>
        <v>386778.06</v>
      </c>
      <c r="AG415" s="26">
        <f>1824796.16*13%+776.499199999991</f>
        <v>238000</v>
      </c>
      <c r="AH415" s="26"/>
      <c r="AI415" s="26">
        <f>5140388.06*13%-776.499199999991+526.051399999996</f>
        <v>668000</v>
      </c>
      <c r="AJ415" s="26"/>
      <c r="AK415" s="26"/>
      <c r="AL415" s="26"/>
      <c r="AM415" s="26"/>
      <c r="AN415" s="26"/>
      <c r="AO415" s="67">
        <f t="shared" si="689"/>
        <v>906000</v>
      </c>
      <c r="AP415" s="67">
        <f t="shared" si="690"/>
        <v>0</v>
      </c>
      <c r="AQ415" s="67">
        <f t="shared" si="691"/>
        <v>906000</v>
      </c>
      <c r="AR415" s="26">
        <v>-526.05139999999597</v>
      </c>
      <c r="AS415" s="26"/>
      <c r="AT415" s="26"/>
      <c r="AU415" s="26"/>
      <c r="AV415" s="26"/>
      <c r="AW415" s="26">
        <f t="shared" si="692"/>
        <v>1292252.0086000001</v>
      </c>
      <c r="AX415" s="14" t="s">
        <v>147</v>
      </c>
      <c r="AY415" s="4">
        <v>1292252</v>
      </c>
      <c r="AZ415" s="4">
        <f t="shared" si="665"/>
        <v>8.6000000592321157E-3</v>
      </c>
    </row>
    <row r="416" spans="1:52" s="4" customFormat="1" ht="30">
      <c r="A416" s="109"/>
      <c r="B416" s="146"/>
      <c r="C416" s="114"/>
      <c r="D416" s="24" t="s">
        <v>22</v>
      </c>
      <c r="E416" s="25">
        <v>564802</v>
      </c>
      <c r="F416" s="37" t="s">
        <v>31</v>
      </c>
      <c r="G416" s="37" t="s">
        <v>208</v>
      </c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>
        <f t="shared" si="687"/>
        <v>0</v>
      </c>
      <c r="W416" s="26"/>
      <c r="X416" s="26"/>
      <c r="Y416" s="26"/>
      <c r="Z416" s="26">
        <f>8449339.98+660.019999999552</f>
        <v>8450000</v>
      </c>
      <c r="AA416" s="26"/>
      <c r="AB416" s="26"/>
      <c r="AC416" s="26"/>
      <c r="AD416" s="67">
        <f t="shared" si="726"/>
        <v>8450000</v>
      </c>
      <c r="AE416" s="26">
        <v>2528933.4</v>
      </c>
      <c r="AF416" s="26">
        <f t="shared" si="727"/>
        <v>2528933.4</v>
      </c>
      <c r="AG416" s="26">
        <f>1824796.16*85%+923.264000000199</f>
        <v>1552000</v>
      </c>
      <c r="AH416" s="26"/>
      <c r="AI416" s="26">
        <f>5140388.06*85%-923.264000000199+593.41300000064</f>
        <v>4369000</v>
      </c>
      <c r="AJ416" s="26"/>
      <c r="AK416" s="26"/>
      <c r="AL416" s="26"/>
      <c r="AM416" s="26"/>
      <c r="AN416" s="26"/>
      <c r="AO416" s="67">
        <f t="shared" si="689"/>
        <v>5921000</v>
      </c>
      <c r="AP416" s="67">
        <f t="shared" si="690"/>
        <v>0</v>
      </c>
      <c r="AQ416" s="67">
        <f t="shared" si="691"/>
        <v>5921000</v>
      </c>
      <c r="AR416" s="26">
        <v>-593.41300000063995</v>
      </c>
      <c r="AS416" s="26"/>
      <c r="AT416" s="26"/>
      <c r="AU416" s="26"/>
      <c r="AV416" s="26"/>
      <c r="AW416" s="26">
        <f t="shared" si="692"/>
        <v>8449339.9869999997</v>
      </c>
      <c r="AX416" s="14" t="s">
        <v>147</v>
      </c>
      <c r="AY416" s="4">
        <v>8449339.9800000004</v>
      </c>
      <c r="AZ416" s="4">
        <f t="shared" si="665"/>
        <v>6.9999992847442627E-3</v>
      </c>
    </row>
    <row r="417" spans="1:52" s="4" customFormat="1" ht="21.75" customHeight="1">
      <c r="A417" s="109"/>
      <c r="B417" s="146"/>
      <c r="C417" s="114"/>
      <c r="D417" s="24" t="s">
        <v>22</v>
      </c>
      <c r="E417" s="25">
        <v>564803</v>
      </c>
      <c r="F417" s="37" t="s">
        <v>28</v>
      </c>
      <c r="G417" s="37" t="s">
        <v>208</v>
      </c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>
        <f t="shared" si="687"/>
        <v>0</v>
      </c>
      <c r="W417" s="26">
        <f>125692+308</f>
        <v>126000</v>
      </c>
      <c r="X417" s="26">
        <v>142000</v>
      </c>
      <c r="Y417" s="26">
        <f>159850-308+458</f>
        <v>160000</v>
      </c>
      <c r="Z417" s="26">
        <f>465279.17-458+178.830000000016</f>
        <v>465000</v>
      </c>
      <c r="AA417" s="26"/>
      <c r="AB417" s="26"/>
      <c r="AC417" s="26"/>
      <c r="AD417" s="67">
        <f t="shared" si="726"/>
        <v>893000</v>
      </c>
      <c r="AE417" s="26">
        <v>308634.65999999997</v>
      </c>
      <c r="AF417" s="26">
        <f t="shared" si="727"/>
        <v>308634.65999999997</v>
      </c>
      <c r="AG417" s="26">
        <f>76538+462</f>
        <v>77000</v>
      </c>
      <c r="AH417" s="26"/>
      <c r="AI417" s="26">
        <v>513000</v>
      </c>
      <c r="AJ417" s="26"/>
      <c r="AK417" s="26"/>
      <c r="AL417" s="26"/>
      <c r="AM417" s="26"/>
      <c r="AN417" s="26"/>
      <c r="AO417" s="67">
        <f t="shared" si="689"/>
        <v>590000</v>
      </c>
      <c r="AP417" s="67">
        <f t="shared" si="690"/>
        <v>0</v>
      </c>
      <c r="AQ417" s="67">
        <f t="shared" si="691"/>
        <v>590000</v>
      </c>
      <c r="AR417" s="26">
        <v>-714</v>
      </c>
      <c r="AS417" s="26"/>
      <c r="AT417" s="26"/>
      <c r="AU417" s="26"/>
      <c r="AV417" s="26"/>
      <c r="AW417" s="26">
        <f t="shared" si="692"/>
        <v>897920.65999999992</v>
      </c>
      <c r="AX417" s="14" t="s">
        <v>147</v>
      </c>
      <c r="AY417" s="4">
        <v>892821.16999999993</v>
      </c>
      <c r="AZ417" s="41">
        <f t="shared" si="665"/>
        <v>5099.4899999999907</v>
      </c>
    </row>
    <row r="418" spans="1:52" s="4" customFormat="1" ht="21.75" customHeight="1">
      <c r="A418" s="110"/>
      <c r="B418" s="147"/>
      <c r="C418" s="115"/>
      <c r="D418" s="24" t="s">
        <v>22</v>
      </c>
      <c r="E418" s="25"/>
      <c r="F418" s="25" t="s">
        <v>29</v>
      </c>
      <c r="G418" s="37" t="s">
        <v>208</v>
      </c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>
        <f t="shared" ref="V418:AW418" si="728">V413+V416+V417</f>
        <v>0</v>
      </c>
      <c r="W418" s="26">
        <f t="shared" si="728"/>
        <v>126000</v>
      </c>
      <c r="X418" s="26">
        <f t="shared" si="728"/>
        <v>142000</v>
      </c>
      <c r="Y418" s="26">
        <f t="shared" si="728"/>
        <v>160000</v>
      </c>
      <c r="Z418" s="26">
        <f t="shared" si="728"/>
        <v>10407000</v>
      </c>
      <c r="AA418" s="26"/>
      <c r="AB418" s="26"/>
      <c r="AC418" s="26"/>
      <c r="AD418" s="67">
        <f t="shared" si="728"/>
        <v>10835000</v>
      </c>
      <c r="AE418" s="26">
        <f t="shared" si="728"/>
        <v>3283850.42</v>
      </c>
      <c r="AF418" s="26">
        <f t="shared" si="728"/>
        <v>3283850.42</v>
      </c>
      <c r="AG418" s="26">
        <f t="shared" si="728"/>
        <v>1904000</v>
      </c>
      <c r="AH418" s="26">
        <f t="shared" si="728"/>
        <v>0</v>
      </c>
      <c r="AI418" s="26">
        <f t="shared" si="728"/>
        <v>5653000</v>
      </c>
      <c r="AJ418" s="26">
        <f t="shared" si="728"/>
        <v>0</v>
      </c>
      <c r="AK418" s="26">
        <f t="shared" si="728"/>
        <v>0</v>
      </c>
      <c r="AL418" s="26">
        <f t="shared" si="728"/>
        <v>0</v>
      </c>
      <c r="AM418" s="26">
        <f t="shared" si="728"/>
        <v>0</v>
      </c>
      <c r="AN418" s="26">
        <f t="shared" si="728"/>
        <v>0</v>
      </c>
      <c r="AO418" s="67">
        <f t="shared" si="728"/>
        <v>7557000</v>
      </c>
      <c r="AP418" s="67">
        <f t="shared" si="728"/>
        <v>0</v>
      </c>
      <c r="AQ418" s="67">
        <f t="shared" si="728"/>
        <v>7557000</v>
      </c>
      <c r="AR418" s="26">
        <f t="shared" si="728"/>
        <v>-2529.7800000006519</v>
      </c>
      <c r="AS418" s="26">
        <f t="shared" si="728"/>
        <v>0</v>
      </c>
      <c r="AT418" s="26">
        <f t="shared" si="728"/>
        <v>0</v>
      </c>
      <c r="AU418" s="26">
        <f t="shared" si="728"/>
        <v>0</v>
      </c>
      <c r="AV418" s="26">
        <f t="shared" si="728"/>
        <v>0</v>
      </c>
      <c r="AW418" s="26">
        <f t="shared" si="728"/>
        <v>10838320.640000001</v>
      </c>
      <c r="AX418" s="14" t="s">
        <v>147</v>
      </c>
      <c r="AY418" s="4">
        <v>10833221.15</v>
      </c>
      <c r="AZ418" s="4">
        <f t="shared" si="665"/>
        <v>5099.4900000002235</v>
      </c>
    </row>
    <row r="419" spans="1:52" s="5" customFormat="1" ht="135">
      <c r="A419" s="109" t="s">
        <v>346</v>
      </c>
      <c r="B419" s="111" t="s">
        <v>27</v>
      </c>
      <c r="C419" s="114">
        <v>66</v>
      </c>
      <c r="D419" s="6" t="s">
        <v>21</v>
      </c>
      <c r="E419" s="7">
        <v>42109304</v>
      </c>
      <c r="F419" s="8" t="s">
        <v>134</v>
      </c>
      <c r="G419" s="8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>
        <f t="shared" ref="V419:V420" si="729">O419+U419</f>
        <v>0</v>
      </c>
      <c r="W419" s="9"/>
      <c r="X419" s="9"/>
      <c r="Y419" s="9"/>
      <c r="Z419" s="9"/>
      <c r="AA419" s="9"/>
      <c r="AB419" s="9"/>
      <c r="AC419" s="9"/>
      <c r="AD419" s="66">
        <f t="shared" ref="AD419:AD422" si="730">SUM(W419:Z419)</f>
        <v>0</v>
      </c>
      <c r="AE419" s="9"/>
      <c r="AF419" s="9">
        <f t="shared" ref="AF419:AF421" si="731">V419+AE419</f>
        <v>0</v>
      </c>
      <c r="AG419" s="9"/>
      <c r="AH419" s="9"/>
      <c r="AI419" s="9"/>
      <c r="AJ419" s="9"/>
      <c r="AK419" s="9">
        <v>232000</v>
      </c>
      <c r="AL419" s="9"/>
      <c r="AM419" s="9"/>
      <c r="AN419" s="9"/>
      <c r="AO419" s="66">
        <f t="shared" ref="AO419:AO422" si="732">AG419+AI419+AK419+AM419</f>
        <v>232000</v>
      </c>
      <c r="AP419" s="66">
        <f t="shared" ref="AP419:AP422" si="733">AH419+AJ419+AL419+AN419</f>
        <v>0</v>
      </c>
      <c r="AQ419" s="66">
        <f t="shared" ref="AQ419:AQ422" si="734">AO419+AP419</f>
        <v>232000</v>
      </c>
      <c r="AR419" s="9">
        <v>1421877</v>
      </c>
      <c r="AS419" s="9">
        <v>2731287</v>
      </c>
      <c r="AT419" s="9">
        <v>1661367.74</v>
      </c>
      <c r="AU419" s="9"/>
      <c r="AV419" s="9"/>
      <c r="AW419" s="9">
        <f t="shared" ref="AW419:AW422" si="735">AF419+AQ419+AR419+AS419+AT419+AU419+AV419</f>
        <v>6046531.7400000002</v>
      </c>
      <c r="AX419" s="10" t="s">
        <v>147</v>
      </c>
      <c r="AY419" s="5">
        <v>6046531.7400000002</v>
      </c>
      <c r="AZ419" s="5">
        <f t="shared" ref="AZ419:AZ420" si="736">AW419-AY419</f>
        <v>0</v>
      </c>
    </row>
    <row r="420" spans="1:52" s="5" customFormat="1" ht="60">
      <c r="A420" s="109"/>
      <c r="B420" s="112"/>
      <c r="C420" s="114"/>
      <c r="D420" s="6" t="s">
        <v>21</v>
      </c>
      <c r="E420" s="7" t="s">
        <v>206</v>
      </c>
      <c r="F420" s="8" t="s">
        <v>144</v>
      </c>
      <c r="G420" s="8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>
        <f t="shared" si="729"/>
        <v>0</v>
      </c>
      <c r="W420" s="9"/>
      <c r="X420" s="9"/>
      <c r="Y420" s="9"/>
      <c r="Z420" s="9"/>
      <c r="AA420" s="9"/>
      <c r="AB420" s="9"/>
      <c r="AC420" s="9"/>
      <c r="AD420" s="66">
        <f t="shared" si="730"/>
        <v>0</v>
      </c>
      <c r="AE420" s="9"/>
      <c r="AF420" s="9">
        <f t="shared" si="731"/>
        <v>0</v>
      </c>
      <c r="AG420" s="9"/>
      <c r="AH420" s="9"/>
      <c r="AI420" s="9"/>
      <c r="AJ420" s="9"/>
      <c r="AK420" s="9">
        <v>239000</v>
      </c>
      <c r="AL420" s="9"/>
      <c r="AM420" s="9"/>
      <c r="AN420" s="9"/>
      <c r="AO420" s="66">
        <f t="shared" si="732"/>
        <v>239000</v>
      </c>
      <c r="AP420" s="66">
        <f t="shared" si="733"/>
        <v>0</v>
      </c>
      <c r="AQ420" s="66">
        <f t="shared" si="734"/>
        <v>239000</v>
      </c>
      <c r="AR420" s="9">
        <v>1463091</v>
      </c>
      <c r="AS420" s="9">
        <v>2810455</v>
      </c>
      <c r="AT420" s="9">
        <v>1709247.54</v>
      </c>
      <c r="AU420" s="9"/>
      <c r="AV420" s="9"/>
      <c r="AW420" s="9">
        <f t="shared" si="735"/>
        <v>6221793.54</v>
      </c>
      <c r="AX420" s="10" t="s">
        <v>147</v>
      </c>
      <c r="AY420" s="5">
        <v>6221793.54</v>
      </c>
      <c r="AZ420" s="5">
        <f t="shared" si="736"/>
        <v>0</v>
      </c>
    </row>
    <row r="421" spans="1:52" s="5" customFormat="1" ht="30">
      <c r="A421" s="109"/>
      <c r="B421" s="112"/>
      <c r="C421" s="114"/>
      <c r="D421" s="6" t="s">
        <v>21</v>
      </c>
      <c r="E421" s="7">
        <v>45104803</v>
      </c>
      <c r="F421" s="8" t="s">
        <v>243</v>
      </c>
      <c r="G421" s="8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66">
        <f t="shared" si="730"/>
        <v>0</v>
      </c>
      <c r="AE421" s="9"/>
      <c r="AF421" s="9">
        <f t="shared" si="731"/>
        <v>0</v>
      </c>
      <c r="AG421" s="9"/>
      <c r="AH421" s="9"/>
      <c r="AI421" s="9"/>
      <c r="AJ421" s="9"/>
      <c r="AK421" s="9"/>
      <c r="AL421" s="9"/>
      <c r="AM421" s="9"/>
      <c r="AN421" s="9"/>
      <c r="AO421" s="66">
        <f t="shared" si="732"/>
        <v>0</v>
      </c>
      <c r="AP421" s="66">
        <f t="shared" si="733"/>
        <v>0</v>
      </c>
      <c r="AQ421" s="66">
        <f t="shared" si="734"/>
        <v>0</v>
      </c>
      <c r="AR421" s="9"/>
      <c r="AS421" s="9"/>
      <c r="AT421" s="9"/>
      <c r="AU421" s="9"/>
      <c r="AV421" s="9"/>
      <c r="AW421" s="9">
        <f t="shared" si="735"/>
        <v>0</v>
      </c>
      <c r="AX421" s="10" t="s">
        <v>147</v>
      </c>
    </row>
    <row r="422" spans="1:52" s="5" customFormat="1" ht="75">
      <c r="A422" s="109"/>
      <c r="B422" s="112"/>
      <c r="C422" s="114"/>
      <c r="D422" s="6" t="s">
        <v>21</v>
      </c>
      <c r="E422" s="7">
        <v>431014</v>
      </c>
      <c r="F422" s="8" t="s">
        <v>83</v>
      </c>
      <c r="G422" s="8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>
        <f t="shared" ref="V422" si="737">O422+U422</f>
        <v>0</v>
      </c>
      <c r="W422" s="9"/>
      <c r="X422" s="9"/>
      <c r="Y422" s="9"/>
      <c r="Z422" s="9"/>
      <c r="AA422" s="9"/>
      <c r="AB422" s="9"/>
      <c r="AC422" s="9"/>
      <c r="AD422" s="66">
        <f t="shared" si="730"/>
        <v>0</v>
      </c>
      <c r="AE422" s="9"/>
      <c r="AF422" s="9">
        <f>AF195</f>
        <v>267830</v>
      </c>
      <c r="AG422" s="9">
        <f t="shared" ref="AG422:AN422" si="738">AG195</f>
        <v>0</v>
      </c>
      <c r="AH422" s="9">
        <f t="shared" si="738"/>
        <v>0</v>
      </c>
      <c r="AI422" s="9">
        <f t="shared" si="738"/>
        <v>0</v>
      </c>
      <c r="AJ422" s="9">
        <f t="shared" si="738"/>
        <v>0</v>
      </c>
      <c r="AK422" s="9">
        <f t="shared" si="738"/>
        <v>272000</v>
      </c>
      <c r="AL422" s="9">
        <f t="shared" si="738"/>
        <v>0</v>
      </c>
      <c r="AM422" s="9">
        <f t="shared" si="738"/>
        <v>0</v>
      </c>
      <c r="AN422" s="9">
        <f t="shared" si="738"/>
        <v>0</v>
      </c>
      <c r="AO422" s="66">
        <f t="shared" si="732"/>
        <v>272000</v>
      </c>
      <c r="AP422" s="66">
        <f t="shared" si="733"/>
        <v>0</v>
      </c>
      <c r="AQ422" s="66">
        <f t="shared" si="734"/>
        <v>272000</v>
      </c>
      <c r="AR422" s="9">
        <f t="shared" ref="AR422:AV422" si="739">AR195</f>
        <v>279999</v>
      </c>
      <c r="AS422" s="9">
        <f t="shared" si="739"/>
        <v>176985</v>
      </c>
      <c r="AT422" s="9">
        <f t="shared" si="739"/>
        <v>2750261</v>
      </c>
      <c r="AU422" s="9">
        <f t="shared" si="739"/>
        <v>0</v>
      </c>
      <c r="AV422" s="9">
        <f t="shared" si="739"/>
        <v>0</v>
      </c>
      <c r="AW422" s="9">
        <f t="shared" si="735"/>
        <v>3747075</v>
      </c>
      <c r="AX422" s="10" t="s">
        <v>147</v>
      </c>
      <c r="AY422" s="5">
        <f>250373.99+3496701.47</f>
        <v>3747075.46</v>
      </c>
      <c r="AZ422" s="5">
        <f t="shared" ref="AZ422:AZ430" si="740">AW422-AY422</f>
        <v>-0.4599999999627471</v>
      </c>
    </row>
    <row r="423" spans="1:52" s="5" customFormat="1" ht="30">
      <c r="A423" s="109"/>
      <c r="B423" s="112"/>
      <c r="C423" s="114"/>
      <c r="D423" s="6" t="s">
        <v>21</v>
      </c>
      <c r="E423" s="7"/>
      <c r="F423" s="8" t="s">
        <v>96</v>
      </c>
      <c r="G423" s="8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>
        <f>V430-V419-V420-V422-V421</f>
        <v>0</v>
      </c>
      <c r="W423" s="9">
        <f t="shared" ref="W423:AW423" si="741">W430-W419-W420-W422-W421</f>
        <v>0</v>
      </c>
      <c r="X423" s="9">
        <f t="shared" si="741"/>
        <v>0</v>
      </c>
      <c r="Y423" s="9">
        <f t="shared" si="741"/>
        <v>0</v>
      </c>
      <c r="Z423" s="9">
        <f t="shared" si="741"/>
        <v>0</v>
      </c>
      <c r="AA423" s="9">
        <f t="shared" si="741"/>
        <v>0</v>
      </c>
      <c r="AB423" s="9">
        <f t="shared" si="741"/>
        <v>0</v>
      </c>
      <c r="AC423" s="9">
        <f t="shared" si="741"/>
        <v>0</v>
      </c>
      <c r="AD423" s="66">
        <f t="shared" si="741"/>
        <v>0</v>
      </c>
      <c r="AE423" s="9">
        <f t="shared" si="741"/>
        <v>0</v>
      </c>
      <c r="AF423" s="9">
        <f t="shared" si="741"/>
        <v>0</v>
      </c>
      <c r="AG423" s="9">
        <f t="shared" si="741"/>
        <v>0</v>
      </c>
      <c r="AH423" s="9">
        <f t="shared" si="741"/>
        <v>0</v>
      </c>
      <c r="AI423" s="9">
        <f t="shared" si="741"/>
        <v>0</v>
      </c>
      <c r="AJ423" s="9">
        <f t="shared" si="741"/>
        <v>0</v>
      </c>
      <c r="AK423" s="9">
        <f t="shared" si="741"/>
        <v>0</v>
      </c>
      <c r="AL423" s="9">
        <f t="shared" si="741"/>
        <v>0</v>
      </c>
      <c r="AM423" s="9">
        <f t="shared" si="741"/>
        <v>0</v>
      </c>
      <c r="AN423" s="9">
        <f t="shared" si="741"/>
        <v>0</v>
      </c>
      <c r="AO423" s="66">
        <f t="shared" si="741"/>
        <v>0</v>
      </c>
      <c r="AP423" s="66">
        <f t="shared" si="741"/>
        <v>0</v>
      </c>
      <c r="AQ423" s="66">
        <f t="shared" si="741"/>
        <v>0</v>
      </c>
      <c r="AR423" s="9">
        <f t="shared" si="741"/>
        <v>0</v>
      </c>
      <c r="AS423" s="9">
        <f t="shared" si="741"/>
        <v>0</v>
      </c>
      <c r="AT423" s="9">
        <f t="shared" si="741"/>
        <v>0</v>
      </c>
      <c r="AU423" s="9">
        <f t="shared" si="741"/>
        <v>0</v>
      </c>
      <c r="AV423" s="9">
        <f t="shared" si="741"/>
        <v>0</v>
      </c>
      <c r="AW423" s="9">
        <f t="shared" si="741"/>
        <v>9.3132257461547852E-10</v>
      </c>
      <c r="AX423" s="10" t="s">
        <v>147</v>
      </c>
    </row>
    <row r="424" spans="1:52" s="5" customFormat="1" ht="21.75" customHeight="1">
      <c r="A424" s="109"/>
      <c r="B424" s="112"/>
      <c r="C424" s="114"/>
      <c r="D424" s="6" t="s">
        <v>21</v>
      </c>
      <c r="E424" s="7"/>
      <c r="F424" s="8" t="s">
        <v>47</v>
      </c>
      <c r="G424" s="8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>
        <f t="shared" ref="V424" si="742">SUM(V419:V423)</f>
        <v>0</v>
      </c>
      <c r="W424" s="9">
        <f t="shared" ref="W424:Z424" si="743">SUM(W419:W423)</f>
        <v>0</v>
      </c>
      <c r="X424" s="9">
        <f t="shared" si="743"/>
        <v>0</v>
      </c>
      <c r="Y424" s="9">
        <f t="shared" si="743"/>
        <v>0</v>
      </c>
      <c r="Z424" s="9">
        <f t="shared" si="743"/>
        <v>0</v>
      </c>
      <c r="AA424" s="9"/>
      <c r="AB424" s="9"/>
      <c r="AC424" s="9"/>
      <c r="AD424" s="66">
        <f t="shared" ref="AD424:AW424" si="744">SUM(AD419:AD423)</f>
        <v>0</v>
      </c>
      <c r="AE424" s="9">
        <f t="shared" si="744"/>
        <v>0</v>
      </c>
      <c r="AF424" s="9">
        <f t="shared" si="744"/>
        <v>267830</v>
      </c>
      <c r="AG424" s="9">
        <f t="shared" si="744"/>
        <v>0</v>
      </c>
      <c r="AH424" s="9">
        <f t="shared" si="744"/>
        <v>0</v>
      </c>
      <c r="AI424" s="9">
        <f t="shared" si="744"/>
        <v>0</v>
      </c>
      <c r="AJ424" s="9">
        <f t="shared" si="744"/>
        <v>0</v>
      </c>
      <c r="AK424" s="9">
        <f t="shared" si="744"/>
        <v>743000</v>
      </c>
      <c r="AL424" s="9">
        <f t="shared" si="744"/>
        <v>0</v>
      </c>
      <c r="AM424" s="9">
        <f t="shared" si="744"/>
        <v>0</v>
      </c>
      <c r="AN424" s="9">
        <f t="shared" si="744"/>
        <v>0</v>
      </c>
      <c r="AO424" s="66">
        <f t="shared" si="744"/>
        <v>743000</v>
      </c>
      <c r="AP424" s="66">
        <f t="shared" si="744"/>
        <v>0</v>
      </c>
      <c r="AQ424" s="66">
        <f t="shared" si="744"/>
        <v>743000</v>
      </c>
      <c r="AR424" s="9">
        <f t="shared" si="744"/>
        <v>3164967</v>
      </c>
      <c r="AS424" s="9">
        <f t="shared" si="744"/>
        <v>5718727</v>
      </c>
      <c r="AT424" s="9">
        <f t="shared" si="744"/>
        <v>6120876.2800000003</v>
      </c>
      <c r="AU424" s="9">
        <f t="shared" si="744"/>
        <v>0</v>
      </c>
      <c r="AV424" s="9">
        <f t="shared" si="744"/>
        <v>0</v>
      </c>
      <c r="AW424" s="9">
        <f t="shared" si="744"/>
        <v>16015400.280000001</v>
      </c>
      <c r="AX424" s="10" t="s">
        <v>147</v>
      </c>
    </row>
    <row r="425" spans="1:52" s="4" customFormat="1" ht="21.75" customHeight="1">
      <c r="A425" s="109"/>
      <c r="B425" s="112"/>
      <c r="C425" s="114"/>
      <c r="D425" s="24" t="s">
        <v>22</v>
      </c>
      <c r="E425" s="25">
        <v>564801</v>
      </c>
      <c r="F425" s="37" t="s">
        <v>30</v>
      </c>
      <c r="G425" s="37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>
        <f>SUM(V426:V427)</f>
        <v>0</v>
      </c>
      <c r="W425" s="26">
        <f t="shared" ref="W425:Z425" si="745">SUM(W426:W427)</f>
        <v>0</v>
      </c>
      <c r="X425" s="26">
        <f t="shared" si="745"/>
        <v>0</v>
      </c>
      <c r="Y425" s="26">
        <f t="shared" si="745"/>
        <v>0</v>
      </c>
      <c r="Z425" s="26">
        <f t="shared" si="745"/>
        <v>0</v>
      </c>
      <c r="AA425" s="26"/>
      <c r="AB425" s="26"/>
      <c r="AC425" s="26"/>
      <c r="AD425" s="67">
        <f t="shared" ref="AD425:AW425" si="746">SUM(AD426:AD427)</f>
        <v>0</v>
      </c>
      <c r="AE425" s="26">
        <f t="shared" si="746"/>
        <v>0</v>
      </c>
      <c r="AF425" s="26">
        <f t="shared" si="746"/>
        <v>4840</v>
      </c>
      <c r="AG425" s="26">
        <f t="shared" si="746"/>
        <v>0</v>
      </c>
      <c r="AH425" s="26">
        <f t="shared" si="746"/>
        <v>0</v>
      </c>
      <c r="AI425" s="26">
        <f t="shared" si="746"/>
        <v>0</v>
      </c>
      <c r="AJ425" s="26">
        <f t="shared" si="746"/>
        <v>0</v>
      </c>
      <c r="AK425" s="26">
        <f t="shared" si="746"/>
        <v>242000</v>
      </c>
      <c r="AL425" s="26">
        <f t="shared" si="746"/>
        <v>0</v>
      </c>
      <c r="AM425" s="26">
        <f t="shared" si="746"/>
        <v>0</v>
      </c>
      <c r="AN425" s="26">
        <f t="shared" si="746"/>
        <v>0</v>
      </c>
      <c r="AO425" s="67">
        <f t="shared" si="746"/>
        <v>242000</v>
      </c>
      <c r="AP425" s="67">
        <f t="shared" si="746"/>
        <v>0</v>
      </c>
      <c r="AQ425" s="67">
        <f t="shared" si="746"/>
        <v>242000</v>
      </c>
      <c r="AR425" s="26">
        <f t="shared" si="746"/>
        <v>1480754</v>
      </c>
      <c r="AS425" s="26">
        <f t="shared" si="746"/>
        <v>2844384</v>
      </c>
      <c r="AT425" s="26">
        <f t="shared" si="746"/>
        <v>1724927.74</v>
      </c>
      <c r="AU425" s="26">
        <f t="shared" si="746"/>
        <v>0</v>
      </c>
      <c r="AV425" s="26">
        <f t="shared" si="746"/>
        <v>0</v>
      </c>
      <c r="AW425" s="26">
        <f t="shared" si="746"/>
        <v>6296905.7400000002</v>
      </c>
      <c r="AX425" s="14" t="s">
        <v>147</v>
      </c>
      <c r="AY425" s="76">
        <f>SUM(AY426:AY427)</f>
        <v>6296905.7300000004</v>
      </c>
      <c r="AZ425" s="4">
        <f t="shared" si="740"/>
        <v>9.9999997764825821E-3</v>
      </c>
    </row>
    <row r="426" spans="1:52" s="4" customFormat="1" ht="21.75" customHeight="1">
      <c r="A426" s="109"/>
      <c r="B426" s="112"/>
      <c r="C426" s="114"/>
      <c r="D426" s="24"/>
      <c r="E426" s="25"/>
      <c r="F426" s="37" t="s">
        <v>207</v>
      </c>
      <c r="G426" s="37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>
        <f t="shared" ref="V426:V429" si="747">O426+U426</f>
        <v>0</v>
      </c>
      <c r="W426" s="26"/>
      <c r="X426" s="26"/>
      <c r="Y426" s="26"/>
      <c r="Z426" s="26"/>
      <c r="AA426" s="26"/>
      <c r="AB426" s="26"/>
      <c r="AC426" s="26"/>
      <c r="AD426" s="67">
        <f t="shared" ref="AD426:AD429" si="748">SUM(W426:Z426)</f>
        <v>0</v>
      </c>
      <c r="AE426" s="26"/>
      <c r="AF426" s="26">
        <v>4840</v>
      </c>
      <c r="AG426" s="26"/>
      <c r="AH426" s="26"/>
      <c r="AI426" s="26"/>
      <c r="AJ426" s="26"/>
      <c r="AK426" s="26">
        <f>AK193</f>
        <v>10000</v>
      </c>
      <c r="AL426" s="26"/>
      <c r="AM426" s="26"/>
      <c r="AN426" s="26"/>
      <c r="AO426" s="67">
        <f t="shared" ref="AO426:AO429" si="749">AG426+AI426+AK426+AM426</f>
        <v>10000</v>
      </c>
      <c r="AP426" s="67">
        <f t="shared" ref="AP426:AP429" si="750">AH426+AJ426+AL426+AN426</f>
        <v>0</v>
      </c>
      <c r="AQ426" s="67">
        <f t="shared" ref="AQ426:AQ429" si="751">AO426+AP426</f>
        <v>10000</v>
      </c>
      <c r="AR426" s="26">
        <f t="shared" ref="AR426:AV426" si="752">AR193</f>
        <v>58877</v>
      </c>
      <c r="AS426" s="26">
        <f t="shared" si="752"/>
        <v>113097</v>
      </c>
      <c r="AT426" s="26">
        <f t="shared" si="752"/>
        <v>63560</v>
      </c>
      <c r="AU426" s="26">
        <f t="shared" si="752"/>
        <v>0</v>
      </c>
      <c r="AV426" s="26">
        <f t="shared" si="752"/>
        <v>0</v>
      </c>
      <c r="AW426" s="26">
        <f t="shared" ref="AW426:AW429" si="753">AF426+AQ426+AR426+AS426+AT426+AU426+AV426</f>
        <v>250374</v>
      </c>
      <c r="AX426" s="14" t="s">
        <v>147</v>
      </c>
      <c r="AY426" s="76">
        <v>250373.99</v>
      </c>
      <c r="AZ426" s="4">
        <f t="shared" si="740"/>
        <v>1.0000000009313226E-2</v>
      </c>
    </row>
    <row r="427" spans="1:52" s="4" customFormat="1" ht="21.75" customHeight="1">
      <c r="A427" s="109"/>
      <c r="B427" s="112"/>
      <c r="C427" s="114"/>
      <c r="D427" s="24"/>
      <c r="E427" s="25"/>
      <c r="F427" s="37" t="s">
        <v>42</v>
      </c>
      <c r="G427" s="37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>
        <f t="shared" si="747"/>
        <v>0</v>
      </c>
      <c r="W427" s="26"/>
      <c r="X427" s="26"/>
      <c r="Y427" s="26"/>
      <c r="Z427" s="26"/>
      <c r="AA427" s="26"/>
      <c r="AB427" s="26"/>
      <c r="AC427" s="26"/>
      <c r="AD427" s="67">
        <f t="shared" si="748"/>
        <v>0</v>
      </c>
      <c r="AE427" s="26"/>
      <c r="AF427" s="26">
        <f t="shared" ref="AF427:AF428" si="754">V427+AE427</f>
        <v>0</v>
      </c>
      <c r="AG427" s="26"/>
      <c r="AH427" s="26"/>
      <c r="AI427" s="26"/>
      <c r="AJ427" s="26"/>
      <c r="AK427" s="26">
        <v>232000</v>
      </c>
      <c r="AL427" s="26"/>
      <c r="AM427" s="26"/>
      <c r="AN427" s="26"/>
      <c r="AO427" s="67">
        <f t="shared" si="749"/>
        <v>232000</v>
      </c>
      <c r="AP427" s="67">
        <f t="shared" si="750"/>
        <v>0</v>
      </c>
      <c r="AQ427" s="67">
        <f t="shared" si="751"/>
        <v>232000</v>
      </c>
      <c r="AR427" s="26">
        <v>1421877</v>
      </c>
      <c r="AS427" s="26">
        <v>2731287</v>
      </c>
      <c r="AT427" s="26">
        <v>1661367.74</v>
      </c>
      <c r="AU427" s="26"/>
      <c r="AV427" s="26"/>
      <c r="AW427" s="26">
        <f t="shared" si="753"/>
        <v>6046531.7400000002</v>
      </c>
      <c r="AX427" s="14" t="s">
        <v>147</v>
      </c>
      <c r="AY427" s="4">
        <v>6046531.7400000002</v>
      </c>
      <c r="AZ427" s="4">
        <f t="shared" si="740"/>
        <v>0</v>
      </c>
    </row>
    <row r="428" spans="1:52" s="4" customFormat="1" ht="30">
      <c r="A428" s="109"/>
      <c r="B428" s="112"/>
      <c r="C428" s="114"/>
      <c r="D428" s="24" t="s">
        <v>22</v>
      </c>
      <c r="E428" s="25">
        <v>564802</v>
      </c>
      <c r="F428" s="37" t="s">
        <v>31</v>
      </c>
      <c r="G428" s="37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>
        <f t="shared" si="747"/>
        <v>0</v>
      </c>
      <c r="W428" s="26"/>
      <c r="X428" s="26"/>
      <c r="Y428" s="26"/>
      <c r="Z428" s="26"/>
      <c r="AA428" s="26"/>
      <c r="AB428" s="26"/>
      <c r="AC428" s="26"/>
      <c r="AD428" s="67">
        <f t="shared" si="748"/>
        <v>0</v>
      </c>
      <c r="AE428" s="26"/>
      <c r="AF428" s="26">
        <f t="shared" si="754"/>
        <v>0</v>
      </c>
      <c r="AG428" s="26"/>
      <c r="AH428" s="26"/>
      <c r="AI428" s="26"/>
      <c r="AJ428" s="26"/>
      <c r="AK428" s="26">
        <v>239000</v>
      </c>
      <c r="AL428" s="26"/>
      <c r="AM428" s="26"/>
      <c r="AN428" s="26"/>
      <c r="AO428" s="67">
        <f t="shared" si="749"/>
        <v>239000</v>
      </c>
      <c r="AP428" s="67">
        <f t="shared" si="750"/>
        <v>0</v>
      </c>
      <c r="AQ428" s="67">
        <f t="shared" si="751"/>
        <v>239000</v>
      </c>
      <c r="AR428" s="26">
        <v>1463091</v>
      </c>
      <c r="AS428" s="26">
        <v>2810455</v>
      </c>
      <c r="AT428" s="26">
        <v>1709247.54</v>
      </c>
      <c r="AU428" s="26"/>
      <c r="AV428" s="26"/>
      <c r="AW428" s="26">
        <f t="shared" si="753"/>
        <v>6221793.54</v>
      </c>
      <c r="AX428" s="14" t="s">
        <v>147</v>
      </c>
      <c r="AY428" s="4">
        <v>6221793.54</v>
      </c>
      <c r="AZ428" s="4">
        <f t="shared" si="740"/>
        <v>0</v>
      </c>
    </row>
    <row r="429" spans="1:52" s="4" customFormat="1" ht="21.75" customHeight="1">
      <c r="A429" s="109"/>
      <c r="B429" s="112"/>
      <c r="C429" s="114"/>
      <c r="D429" s="24" t="s">
        <v>22</v>
      </c>
      <c r="E429" s="25">
        <v>564803</v>
      </c>
      <c r="F429" s="37" t="s">
        <v>28</v>
      </c>
      <c r="G429" s="37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>
        <f t="shared" si="747"/>
        <v>0</v>
      </c>
      <c r="W429" s="26"/>
      <c r="X429" s="26"/>
      <c r="Y429" s="26"/>
      <c r="Z429" s="26"/>
      <c r="AA429" s="26"/>
      <c r="AB429" s="26"/>
      <c r="AC429" s="26"/>
      <c r="AD429" s="67">
        <f t="shared" si="748"/>
        <v>0</v>
      </c>
      <c r="AE429" s="26"/>
      <c r="AF429" s="26">
        <v>262990</v>
      </c>
      <c r="AG429" s="26"/>
      <c r="AH429" s="26"/>
      <c r="AI429" s="26"/>
      <c r="AJ429" s="26"/>
      <c r="AK429" s="26">
        <f>AK194</f>
        <v>262000</v>
      </c>
      <c r="AL429" s="26"/>
      <c r="AM429" s="26"/>
      <c r="AN429" s="26"/>
      <c r="AO429" s="67">
        <f t="shared" si="749"/>
        <v>262000</v>
      </c>
      <c r="AP429" s="67">
        <f t="shared" si="750"/>
        <v>0</v>
      </c>
      <c r="AQ429" s="67">
        <f t="shared" si="751"/>
        <v>262000</v>
      </c>
      <c r="AR429" s="26">
        <f t="shared" ref="AR429:AV429" si="755">AR194</f>
        <v>221122</v>
      </c>
      <c r="AS429" s="26">
        <f t="shared" si="755"/>
        <v>63888</v>
      </c>
      <c r="AT429" s="26">
        <f t="shared" si="755"/>
        <v>2686701</v>
      </c>
      <c r="AU429" s="26">
        <f t="shared" si="755"/>
        <v>0</v>
      </c>
      <c r="AV429" s="26">
        <f t="shared" si="755"/>
        <v>0</v>
      </c>
      <c r="AW429" s="26">
        <f t="shared" si="753"/>
        <v>3496701</v>
      </c>
      <c r="AX429" s="14" t="s">
        <v>147</v>
      </c>
      <c r="AY429" s="4">
        <v>3496701.47</v>
      </c>
      <c r="AZ429" s="41">
        <f t="shared" si="740"/>
        <v>-0.47000000020489097</v>
      </c>
    </row>
    <row r="430" spans="1:52" s="4" customFormat="1" ht="21.75" customHeight="1">
      <c r="A430" s="110"/>
      <c r="B430" s="113"/>
      <c r="C430" s="115"/>
      <c r="D430" s="24" t="s">
        <v>22</v>
      </c>
      <c r="E430" s="25"/>
      <c r="F430" s="25" t="s">
        <v>29</v>
      </c>
      <c r="G430" s="37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>
        <f t="shared" ref="V430:Z430" si="756">V425+V428+V429</f>
        <v>0</v>
      </c>
      <c r="W430" s="26">
        <f t="shared" si="756"/>
        <v>0</v>
      </c>
      <c r="X430" s="26">
        <f t="shared" si="756"/>
        <v>0</v>
      </c>
      <c r="Y430" s="26">
        <f t="shared" si="756"/>
        <v>0</v>
      </c>
      <c r="Z430" s="26">
        <f t="shared" si="756"/>
        <v>0</v>
      </c>
      <c r="AA430" s="26"/>
      <c r="AB430" s="26"/>
      <c r="AC430" s="26"/>
      <c r="AD430" s="67">
        <f t="shared" ref="AD430:AW430" si="757">AD425+AD428+AD429</f>
        <v>0</v>
      </c>
      <c r="AE430" s="26">
        <f t="shared" si="757"/>
        <v>0</v>
      </c>
      <c r="AF430" s="26">
        <f t="shared" si="757"/>
        <v>267830</v>
      </c>
      <c r="AG430" s="26">
        <f t="shared" si="757"/>
        <v>0</v>
      </c>
      <c r="AH430" s="26">
        <f t="shared" si="757"/>
        <v>0</v>
      </c>
      <c r="AI430" s="26">
        <f t="shared" si="757"/>
        <v>0</v>
      </c>
      <c r="AJ430" s="26">
        <f t="shared" si="757"/>
        <v>0</v>
      </c>
      <c r="AK430" s="26">
        <f t="shared" si="757"/>
        <v>743000</v>
      </c>
      <c r="AL430" s="26">
        <f t="shared" si="757"/>
        <v>0</v>
      </c>
      <c r="AM430" s="26">
        <f t="shared" si="757"/>
        <v>0</v>
      </c>
      <c r="AN430" s="26">
        <f t="shared" si="757"/>
        <v>0</v>
      </c>
      <c r="AO430" s="67">
        <f t="shared" si="757"/>
        <v>743000</v>
      </c>
      <c r="AP430" s="67">
        <f t="shared" si="757"/>
        <v>0</v>
      </c>
      <c r="AQ430" s="67">
        <f t="shared" si="757"/>
        <v>743000</v>
      </c>
      <c r="AR430" s="26">
        <f t="shared" si="757"/>
        <v>3164967</v>
      </c>
      <c r="AS430" s="26">
        <f t="shared" si="757"/>
        <v>5718727</v>
      </c>
      <c r="AT430" s="26">
        <f t="shared" si="757"/>
        <v>6120876.2800000003</v>
      </c>
      <c r="AU430" s="26">
        <f t="shared" si="757"/>
        <v>0</v>
      </c>
      <c r="AV430" s="26">
        <f t="shared" si="757"/>
        <v>0</v>
      </c>
      <c r="AW430" s="26">
        <f t="shared" si="757"/>
        <v>16015400.280000001</v>
      </c>
      <c r="AX430" s="14" t="s">
        <v>147</v>
      </c>
      <c r="AY430" s="76">
        <f>AY425+AY428+AY429</f>
        <v>16015400.74</v>
      </c>
      <c r="AZ430" s="4">
        <f t="shared" si="740"/>
        <v>-0.45999999903142452</v>
      </c>
    </row>
    <row r="431" spans="1:52" s="5" customFormat="1" ht="34.5" customHeight="1">
      <c r="A431" s="149" t="s">
        <v>335</v>
      </c>
      <c r="B431" s="111" t="s">
        <v>127</v>
      </c>
      <c r="C431" s="138">
        <v>67</v>
      </c>
      <c r="D431" s="6" t="s">
        <v>21</v>
      </c>
      <c r="E431" s="8">
        <v>48101603</v>
      </c>
      <c r="F431" s="8" t="s">
        <v>60</v>
      </c>
      <c r="G431" s="8">
        <v>101128606</v>
      </c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>
        <v>100000</v>
      </c>
      <c r="S431" s="9"/>
      <c r="T431" s="9">
        <f t="shared" ref="T431" si="758">SUM(P431:S431)</f>
        <v>100000</v>
      </c>
      <c r="U431" s="9">
        <v>81031.59</v>
      </c>
      <c r="V431" s="9">
        <f t="shared" si="687"/>
        <v>81031.59</v>
      </c>
      <c r="W431" s="9">
        <v>30000</v>
      </c>
      <c r="X431" s="9">
        <v>30000</v>
      </c>
      <c r="Y431" s="9">
        <v>30000</v>
      </c>
      <c r="Z431" s="9">
        <v>30000</v>
      </c>
      <c r="AA431" s="9"/>
      <c r="AB431" s="9"/>
      <c r="AC431" s="9"/>
      <c r="AD431" s="66">
        <f t="shared" si="693"/>
        <v>120000</v>
      </c>
      <c r="AE431" s="9">
        <f>82501.24</f>
        <v>82501.240000000005</v>
      </c>
      <c r="AF431" s="9">
        <f>V431+AE431</f>
        <v>163532.83000000002</v>
      </c>
      <c r="AG431" s="9">
        <v>54000</v>
      </c>
      <c r="AH431" s="9"/>
      <c r="AI431" s="9"/>
      <c r="AJ431" s="9"/>
      <c r="AK431" s="9"/>
      <c r="AL431" s="9"/>
      <c r="AM431" s="9"/>
      <c r="AN431" s="9"/>
      <c r="AO431" s="66">
        <f t="shared" si="689"/>
        <v>54000</v>
      </c>
      <c r="AP431" s="66">
        <f t="shared" si="690"/>
        <v>0</v>
      </c>
      <c r="AQ431" s="66">
        <f t="shared" si="691"/>
        <v>54000</v>
      </c>
      <c r="AR431" s="9"/>
      <c r="AS431" s="9"/>
      <c r="AT431" s="9"/>
      <c r="AU431" s="9"/>
      <c r="AV431" s="9"/>
      <c r="AW431" s="9">
        <f t="shared" si="692"/>
        <v>217532.83000000002</v>
      </c>
      <c r="AX431" s="48" t="s">
        <v>125</v>
      </c>
      <c r="AY431" s="11">
        <v>202321.59</v>
      </c>
      <c r="AZ431" s="5">
        <f t="shared" si="665"/>
        <v>15211.24000000002</v>
      </c>
    </row>
    <row r="432" spans="1:52" s="5" customFormat="1" ht="30">
      <c r="A432" s="149"/>
      <c r="B432" s="112"/>
      <c r="C432" s="146"/>
      <c r="D432" s="6" t="s">
        <v>21</v>
      </c>
      <c r="E432" s="7"/>
      <c r="F432" s="8" t="s">
        <v>19</v>
      </c>
      <c r="G432" s="8">
        <v>101128606</v>
      </c>
      <c r="H432" s="9">
        <f>H231</f>
        <v>0</v>
      </c>
      <c r="I432" s="9"/>
      <c r="J432" s="9"/>
      <c r="K432" s="9"/>
      <c r="L432" s="9"/>
      <c r="M432" s="9"/>
      <c r="N432" s="9">
        <f t="shared" ref="N432:O432" si="759">N231</f>
        <v>0</v>
      </c>
      <c r="O432" s="9">
        <f t="shared" si="759"/>
        <v>0</v>
      </c>
      <c r="P432" s="9">
        <f t="shared" ref="P432:S432" si="760">P196</f>
        <v>0</v>
      </c>
      <c r="Q432" s="9">
        <f t="shared" si="760"/>
        <v>0</v>
      </c>
      <c r="R432" s="9">
        <f t="shared" si="760"/>
        <v>20000</v>
      </c>
      <c r="S432" s="9">
        <f t="shared" si="760"/>
        <v>0</v>
      </c>
      <c r="T432" s="9">
        <f>SUM(P432:S432)</f>
        <v>20000</v>
      </c>
      <c r="U432" s="9">
        <f>U196</f>
        <v>13873</v>
      </c>
      <c r="V432" s="9">
        <f>O432+U432</f>
        <v>13873</v>
      </c>
      <c r="W432" s="9">
        <v>10000</v>
      </c>
      <c r="X432" s="9">
        <v>10000</v>
      </c>
      <c r="Y432" s="9">
        <v>0</v>
      </c>
      <c r="Z432" s="9">
        <v>10000</v>
      </c>
      <c r="AA432" s="9"/>
      <c r="AB432" s="9"/>
      <c r="AC432" s="9"/>
      <c r="AD432" s="66">
        <f t="shared" si="693"/>
        <v>30000</v>
      </c>
      <c r="AE432" s="9">
        <f>AE197</f>
        <v>22529.64</v>
      </c>
      <c r="AF432" s="9">
        <f>V432+AE432</f>
        <v>36402.639999999999</v>
      </c>
      <c r="AG432" s="9">
        <f t="shared" ref="AG432:AN432" si="761">AG197</f>
        <v>14000</v>
      </c>
      <c r="AH432" s="9">
        <f t="shared" si="761"/>
        <v>0</v>
      </c>
      <c r="AI432" s="9">
        <f t="shared" si="761"/>
        <v>0</v>
      </c>
      <c r="AJ432" s="9">
        <f t="shared" si="761"/>
        <v>0</v>
      </c>
      <c r="AK432" s="9">
        <f t="shared" si="761"/>
        <v>0</v>
      </c>
      <c r="AL432" s="9">
        <f t="shared" si="761"/>
        <v>0</v>
      </c>
      <c r="AM432" s="9">
        <f t="shared" si="761"/>
        <v>0</v>
      </c>
      <c r="AN432" s="9">
        <f t="shared" si="761"/>
        <v>0</v>
      </c>
      <c r="AO432" s="66">
        <f t="shared" si="689"/>
        <v>14000</v>
      </c>
      <c r="AP432" s="66">
        <f t="shared" si="690"/>
        <v>0</v>
      </c>
      <c r="AQ432" s="66">
        <f t="shared" si="691"/>
        <v>14000</v>
      </c>
      <c r="AR432" s="9">
        <f t="shared" ref="AR432:AV432" si="762">AR197</f>
        <v>0</v>
      </c>
      <c r="AS432" s="9">
        <f t="shared" si="762"/>
        <v>0</v>
      </c>
      <c r="AT432" s="9">
        <f t="shared" si="762"/>
        <v>0</v>
      </c>
      <c r="AU432" s="9">
        <f t="shared" si="762"/>
        <v>0</v>
      </c>
      <c r="AV432" s="9">
        <f t="shared" si="762"/>
        <v>0</v>
      </c>
      <c r="AW432" s="9">
        <f t="shared" si="692"/>
        <v>50402.64</v>
      </c>
      <c r="AX432" s="48" t="s">
        <v>125</v>
      </c>
      <c r="AY432" s="11">
        <v>50583</v>
      </c>
      <c r="AZ432" s="5">
        <f t="shared" si="665"/>
        <v>-180.36000000000058</v>
      </c>
    </row>
    <row r="433" spans="1:52" s="5" customFormat="1" ht="30">
      <c r="A433" s="149"/>
      <c r="B433" s="112"/>
      <c r="C433" s="146"/>
      <c r="D433" s="6" t="s">
        <v>21</v>
      </c>
      <c r="E433" s="7"/>
      <c r="F433" s="8" t="s">
        <v>139</v>
      </c>
      <c r="G433" s="8">
        <v>101128606</v>
      </c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>
        <f>SUM(P433:S433)</f>
        <v>0</v>
      </c>
      <c r="U433" s="9">
        <f>U437-U431-U432</f>
        <v>-25536.589999999997</v>
      </c>
      <c r="V433" s="9">
        <f t="shared" ref="V433:AD433" si="763">V437-V431-V432</f>
        <v>-25536.589999999997</v>
      </c>
      <c r="W433" s="9">
        <f>W437-W431-W432</f>
        <v>26000</v>
      </c>
      <c r="X433" s="9">
        <f t="shared" si="763"/>
        <v>0</v>
      </c>
      <c r="Y433" s="9">
        <f t="shared" si="763"/>
        <v>0</v>
      </c>
      <c r="Z433" s="9">
        <f t="shared" si="763"/>
        <v>0</v>
      </c>
      <c r="AA433" s="9"/>
      <c r="AB433" s="9"/>
      <c r="AC433" s="9"/>
      <c r="AD433" s="66">
        <f t="shared" si="763"/>
        <v>26000</v>
      </c>
      <c r="AE433" s="9">
        <f t="shared" ref="AE433" si="764">AE437-AE431-AE432</f>
        <v>7615.2799999999988</v>
      </c>
      <c r="AF433" s="9">
        <f t="shared" ref="AF433:AW433" si="765">AF437-AF431-AF432</f>
        <v>-17921.309999999983</v>
      </c>
      <c r="AG433" s="9">
        <f t="shared" si="765"/>
        <v>44000</v>
      </c>
      <c r="AH433" s="9">
        <f t="shared" si="765"/>
        <v>0</v>
      </c>
      <c r="AI433" s="9">
        <f t="shared" si="765"/>
        <v>0</v>
      </c>
      <c r="AJ433" s="9">
        <f t="shared" si="765"/>
        <v>0</v>
      </c>
      <c r="AK433" s="9">
        <f t="shared" si="765"/>
        <v>0</v>
      </c>
      <c r="AL433" s="9">
        <f t="shared" si="765"/>
        <v>0</v>
      </c>
      <c r="AM433" s="9">
        <f t="shared" si="765"/>
        <v>0</v>
      </c>
      <c r="AN433" s="9">
        <f t="shared" si="765"/>
        <v>0</v>
      </c>
      <c r="AO433" s="66">
        <f t="shared" si="765"/>
        <v>44000</v>
      </c>
      <c r="AP433" s="66">
        <f t="shared" si="765"/>
        <v>0</v>
      </c>
      <c r="AQ433" s="66">
        <f t="shared" si="765"/>
        <v>44000</v>
      </c>
      <c r="AR433" s="9">
        <f t="shared" si="765"/>
        <v>0</v>
      </c>
      <c r="AS433" s="9">
        <f t="shared" si="765"/>
        <v>0</v>
      </c>
      <c r="AT433" s="9">
        <f t="shared" si="765"/>
        <v>0</v>
      </c>
      <c r="AU433" s="9">
        <f t="shared" si="765"/>
        <v>0</v>
      </c>
      <c r="AV433" s="9">
        <f t="shared" si="765"/>
        <v>0</v>
      </c>
      <c r="AW433" s="9">
        <f t="shared" si="765"/>
        <v>26078.690000000017</v>
      </c>
      <c r="AX433" s="48" t="s">
        <v>125</v>
      </c>
      <c r="AY433" s="11">
        <v>0.41000000000349246</v>
      </c>
      <c r="AZ433" s="5">
        <f t="shared" si="665"/>
        <v>26078.280000000013</v>
      </c>
    </row>
    <row r="434" spans="1:52" s="5" customFormat="1" ht="30">
      <c r="A434" s="149"/>
      <c r="B434" s="112"/>
      <c r="C434" s="146"/>
      <c r="D434" s="6" t="s">
        <v>21</v>
      </c>
      <c r="E434" s="7"/>
      <c r="F434" s="8" t="s">
        <v>47</v>
      </c>
      <c r="G434" s="8">
        <v>101128606</v>
      </c>
      <c r="H434" s="9">
        <f>SUM(H431:H432)</f>
        <v>0</v>
      </c>
      <c r="I434" s="9">
        <f t="shared" ref="I434:T434" si="766">SUM(I431:I432)</f>
        <v>0</v>
      </c>
      <c r="J434" s="9">
        <f t="shared" si="766"/>
        <v>0</v>
      </c>
      <c r="K434" s="9">
        <f t="shared" si="766"/>
        <v>0</v>
      </c>
      <c r="L434" s="9">
        <f t="shared" si="766"/>
        <v>0</v>
      </c>
      <c r="M434" s="9">
        <f t="shared" si="766"/>
        <v>0</v>
      </c>
      <c r="N434" s="9">
        <f t="shared" si="766"/>
        <v>0</v>
      </c>
      <c r="O434" s="9">
        <f t="shared" si="766"/>
        <v>0</v>
      </c>
      <c r="P434" s="9">
        <f t="shared" si="766"/>
        <v>0</v>
      </c>
      <c r="Q434" s="9">
        <f t="shared" si="766"/>
        <v>0</v>
      </c>
      <c r="R434" s="9">
        <f t="shared" si="766"/>
        <v>120000</v>
      </c>
      <c r="S434" s="9">
        <f t="shared" si="766"/>
        <v>0</v>
      </c>
      <c r="T434" s="9">
        <f t="shared" si="766"/>
        <v>120000</v>
      </c>
      <c r="U434" s="9">
        <f>SUM(U431:U433)</f>
        <v>69368</v>
      </c>
      <c r="V434" s="9">
        <f>SUM(V431:V433)</f>
        <v>69368</v>
      </c>
      <c r="W434" s="9">
        <f t="shared" ref="W434:AD434" si="767">SUM(W431:W433)</f>
        <v>66000</v>
      </c>
      <c r="X434" s="9">
        <f t="shared" si="767"/>
        <v>40000</v>
      </c>
      <c r="Y434" s="9">
        <f t="shared" si="767"/>
        <v>30000</v>
      </c>
      <c r="Z434" s="9">
        <f t="shared" si="767"/>
        <v>40000</v>
      </c>
      <c r="AA434" s="9"/>
      <c r="AB434" s="9"/>
      <c r="AC434" s="9"/>
      <c r="AD434" s="66">
        <f t="shared" si="767"/>
        <v>176000</v>
      </c>
      <c r="AE434" s="9">
        <f t="shared" ref="AE434" si="768">SUM(AE431:AE433)</f>
        <v>112646.16</v>
      </c>
      <c r="AF434" s="9">
        <f t="shared" ref="AF434:AW434" si="769">SUM(AF431:AF433)</f>
        <v>182014.16000000003</v>
      </c>
      <c r="AG434" s="9">
        <f t="shared" si="769"/>
        <v>112000</v>
      </c>
      <c r="AH434" s="9">
        <f t="shared" si="769"/>
        <v>0</v>
      </c>
      <c r="AI434" s="9">
        <f t="shared" si="769"/>
        <v>0</v>
      </c>
      <c r="AJ434" s="9">
        <f t="shared" si="769"/>
        <v>0</v>
      </c>
      <c r="AK434" s="9">
        <f t="shared" si="769"/>
        <v>0</v>
      </c>
      <c r="AL434" s="9">
        <f t="shared" si="769"/>
        <v>0</v>
      </c>
      <c r="AM434" s="9">
        <f t="shared" si="769"/>
        <v>0</v>
      </c>
      <c r="AN434" s="9">
        <f t="shared" si="769"/>
        <v>0</v>
      </c>
      <c r="AO434" s="66">
        <f t="shared" si="769"/>
        <v>112000</v>
      </c>
      <c r="AP434" s="66">
        <f t="shared" si="769"/>
        <v>0</v>
      </c>
      <c r="AQ434" s="66">
        <f t="shared" si="769"/>
        <v>112000</v>
      </c>
      <c r="AR434" s="9">
        <f t="shared" si="769"/>
        <v>0</v>
      </c>
      <c r="AS434" s="9">
        <f t="shared" si="769"/>
        <v>0</v>
      </c>
      <c r="AT434" s="9">
        <f t="shared" si="769"/>
        <v>0</v>
      </c>
      <c r="AU434" s="9">
        <f t="shared" si="769"/>
        <v>0</v>
      </c>
      <c r="AV434" s="9">
        <f t="shared" si="769"/>
        <v>0</v>
      </c>
      <c r="AW434" s="9">
        <f t="shared" si="769"/>
        <v>294014.16000000003</v>
      </c>
      <c r="AX434" s="48" t="s">
        <v>125</v>
      </c>
      <c r="AY434" s="5">
        <v>252905</v>
      </c>
      <c r="AZ434" s="5">
        <f t="shared" si="665"/>
        <v>41109.160000000033</v>
      </c>
    </row>
    <row r="435" spans="1:52" s="4" customFormat="1" ht="30" customHeight="1">
      <c r="A435" s="149"/>
      <c r="B435" s="112"/>
      <c r="C435" s="146"/>
      <c r="D435" s="24" t="s">
        <v>22</v>
      </c>
      <c r="E435" s="37">
        <v>567201</v>
      </c>
      <c r="F435" s="37" t="s">
        <v>30</v>
      </c>
      <c r="G435" s="37">
        <v>101128606</v>
      </c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>
        <v>20000</v>
      </c>
      <c r="S435" s="26"/>
      <c r="T435" s="26">
        <f t="shared" ref="T435:T436" si="770">SUM(P435:S435)</f>
        <v>20000</v>
      </c>
      <c r="U435" s="26">
        <f>U197</f>
        <v>13873</v>
      </c>
      <c r="V435" s="26">
        <f t="shared" si="687"/>
        <v>13873</v>
      </c>
      <c r="W435" s="26">
        <v>10000</v>
      </c>
      <c r="X435" s="26">
        <v>10000</v>
      </c>
      <c r="Y435" s="26">
        <v>0</v>
      </c>
      <c r="Z435" s="26">
        <v>10000</v>
      </c>
      <c r="AA435" s="26"/>
      <c r="AB435" s="26"/>
      <c r="AC435" s="26"/>
      <c r="AD435" s="67">
        <f t="shared" si="693"/>
        <v>30000</v>
      </c>
      <c r="AE435" s="26">
        <v>22529.64</v>
      </c>
      <c r="AF435" s="26">
        <f t="shared" ref="AF435:AF436" si="771">V435+AE435</f>
        <v>36402.639999999999</v>
      </c>
      <c r="AG435" s="26">
        <v>14000</v>
      </c>
      <c r="AH435" s="26"/>
      <c r="AI435" s="26"/>
      <c r="AJ435" s="26"/>
      <c r="AK435" s="26"/>
      <c r="AL435" s="26"/>
      <c r="AM435" s="26"/>
      <c r="AN435" s="26"/>
      <c r="AO435" s="67">
        <f t="shared" si="689"/>
        <v>14000</v>
      </c>
      <c r="AP435" s="67">
        <f t="shared" si="690"/>
        <v>0</v>
      </c>
      <c r="AQ435" s="67">
        <f t="shared" si="691"/>
        <v>14000</v>
      </c>
      <c r="AR435" s="26"/>
      <c r="AS435" s="26"/>
      <c r="AT435" s="26"/>
      <c r="AU435" s="26"/>
      <c r="AV435" s="26"/>
      <c r="AW435" s="26">
        <f t="shared" si="692"/>
        <v>50402.64</v>
      </c>
      <c r="AX435" s="3" t="s">
        <v>125</v>
      </c>
      <c r="AY435" s="4">
        <v>50583</v>
      </c>
      <c r="AZ435" s="4">
        <f t="shared" si="665"/>
        <v>-180.36000000000058</v>
      </c>
    </row>
    <row r="436" spans="1:52" s="4" customFormat="1" ht="30">
      <c r="A436" s="149"/>
      <c r="B436" s="112"/>
      <c r="C436" s="146"/>
      <c r="D436" s="24" t="s">
        <v>22</v>
      </c>
      <c r="E436" s="37">
        <v>567202</v>
      </c>
      <c r="F436" s="37" t="s">
        <v>31</v>
      </c>
      <c r="G436" s="37">
        <v>101128606</v>
      </c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>
        <v>100000</v>
      </c>
      <c r="S436" s="26"/>
      <c r="T436" s="26">
        <f t="shared" si="770"/>
        <v>100000</v>
      </c>
      <c r="U436" s="26">
        <v>55495</v>
      </c>
      <c r="V436" s="26">
        <f t="shared" si="687"/>
        <v>55495</v>
      </c>
      <c r="W436" s="26">
        <f>30000+26000</f>
        <v>56000</v>
      </c>
      <c r="X436" s="26">
        <v>30000</v>
      </c>
      <c r="Y436" s="26">
        <v>30000</v>
      </c>
      <c r="Z436" s="26">
        <v>30000</v>
      </c>
      <c r="AA436" s="26"/>
      <c r="AB436" s="26"/>
      <c r="AC436" s="26"/>
      <c r="AD436" s="67">
        <f t="shared" si="693"/>
        <v>146000</v>
      </c>
      <c r="AE436" s="26">
        <v>90116.52</v>
      </c>
      <c r="AF436" s="26">
        <f t="shared" si="771"/>
        <v>145611.52000000002</v>
      </c>
      <c r="AG436" s="26">
        <v>98000</v>
      </c>
      <c r="AH436" s="26"/>
      <c r="AI436" s="26"/>
      <c r="AJ436" s="26"/>
      <c r="AK436" s="26"/>
      <c r="AL436" s="26"/>
      <c r="AM436" s="26"/>
      <c r="AN436" s="26"/>
      <c r="AO436" s="67">
        <f t="shared" si="689"/>
        <v>98000</v>
      </c>
      <c r="AP436" s="67">
        <f t="shared" si="690"/>
        <v>0</v>
      </c>
      <c r="AQ436" s="67">
        <f t="shared" si="691"/>
        <v>98000</v>
      </c>
      <c r="AR436" s="26"/>
      <c r="AS436" s="26"/>
      <c r="AT436" s="26"/>
      <c r="AU436" s="26"/>
      <c r="AV436" s="26"/>
      <c r="AW436" s="26">
        <f t="shared" si="692"/>
        <v>243611.52000000002</v>
      </c>
      <c r="AX436" s="3" t="s">
        <v>125</v>
      </c>
      <c r="AY436" s="4">
        <v>202322</v>
      </c>
      <c r="AZ436" s="4">
        <f t="shared" si="665"/>
        <v>41289.520000000019</v>
      </c>
    </row>
    <row r="437" spans="1:52" s="4" customFormat="1" ht="27.75" customHeight="1">
      <c r="A437" s="149"/>
      <c r="B437" s="113"/>
      <c r="C437" s="146"/>
      <c r="D437" s="24" t="s">
        <v>22</v>
      </c>
      <c r="E437" s="25"/>
      <c r="F437" s="37" t="s">
        <v>29</v>
      </c>
      <c r="G437" s="37">
        <v>101128606</v>
      </c>
      <c r="H437" s="26">
        <f>SUM(H435:H436)</f>
        <v>0</v>
      </c>
      <c r="I437" s="26">
        <f t="shared" ref="I437:U437" si="772">SUM(I435:I436)</f>
        <v>0</v>
      </c>
      <c r="J437" s="26">
        <f t="shared" si="772"/>
        <v>0</v>
      </c>
      <c r="K437" s="26">
        <f t="shared" si="772"/>
        <v>0</v>
      </c>
      <c r="L437" s="26">
        <f t="shared" si="772"/>
        <v>0</v>
      </c>
      <c r="M437" s="26">
        <f t="shared" si="772"/>
        <v>0</v>
      </c>
      <c r="N437" s="26">
        <f t="shared" si="772"/>
        <v>0</v>
      </c>
      <c r="O437" s="26">
        <f t="shared" si="772"/>
        <v>0</v>
      </c>
      <c r="P437" s="26">
        <f t="shared" si="772"/>
        <v>0</v>
      </c>
      <c r="Q437" s="26">
        <f t="shared" si="772"/>
        <v>0</v>
      </c>
      <c r="R437" s="26">
        <f t="shared" si="772"/>
        <v>120000</v>
      </c>
      <c r="S437" s="26">
        <f t="shared" si="772"/>
        <v>0</v>
      </c>
      <c r="T437" s="26">
        <f t="shared" si="772"/>
        <v>120000</v>
      </c>
      <c r="U437" s="26">
        <f t="shared" si="772"/>
        <v>69368</v>
      </c>
      <c r="V437" s="26">
        <f>SUM(V435:V436)</f>
        <v>69368</v>
      </c>
      <c r="W437" s="26">
        <f t="shared" ref="W437:AW437" si="773">SUM(W435:W436)</f>
        <v>66000</v>
      </c>
      <c r="X437" s="26">
        <f t="shared" si="773"/>
        <v>40000</v>
      </c>
      <c r="Y437" s="26">
        <f t="shared" si="773"/>
        <v>30000</v>
      </c>
      <c r="Z437" s="26">
        <f t="shared" si="773"/>
        <v>40000</v>
      </c>
      <c r="AA437" s="26"/>
      <c r="AB437" s="26"/>
      <c r="AC437" s="26"/>
      <c r="AD437" s="67">
        <f t="shared" si="773"/>
        <v>176000</v>
      </c>
      <c r="AE437" s="26">
        <f t="shared" si="773"/>
        <v>112646.16</v>
      </c>
      <c r="AF437" s="26">
        <f t="shared" si="773"/>
        <v>182014.16000000003</v>
      </c>
      <c r="AG437" s="26">
        <f t="shared" si="773"/>
        <v>112000</v>
      </c>
      <c r="AH437" s="26">
        <f t="shared" si="773"/>
        <v>0</v>
      </c>
      <c r="AI437" s="26">
        <f t="shared" si="773"/>
        <v>0</v>
      </c>
      <c r="AJ437" s="26">
        <f t="shared" si="773"/>
        <v>0</v>
      </c>
      <c r="AK437" s="26">
        <f t="shared" si="773"/>
        <v>0</v>
      </c>
      <c r="AL437" s="26">
        <f t="shared" si="773"/>
        <v>0</v>
      </c>
      <c r="AM437" s="26">
        <f t="shared" si="773"/>
        <v>0</v>
      </c>
      <c r="AN437" s="26">
        <f t="shared" si="773"/>
        <v>0</v>
      </c>
      <c r="AO437" s="67">
        <f t="shared" si="773"/>
        <v>112000</v>
      </c>
      <c r="AP437" s="67">
        <f t="shared" si="773"/>
        <v>0</v>
      </c>
      <c r="AQ437" s="67">
        <f t="shared" si="773"/>
        <v>112000</v>
      </c>
      <c r="AR437" s="26">
        <f t="shared" si="773"/>
        <v>0</v>
      </c>
      <c r="AS437" s="26">
        <f t="shared" si="773"/>
        <v>0</v>
      </c>
      <c r="AT437" s="26">
        <f t="shared" si="773"/>
        <v>0</v>
      </c>
      <c r="AU437" s="26">
        <f t="shared" si="773"/>
        <v>0</v>
      </c>
      <c r="AV437" s="26">
        <f t="shared" si="773"/>
        <v>0</v>
      </c>
      <c r="AW437" s="26">
        <f t="shared" si="773"/>
        <v>294014.16000000003</v>
      </c>
      <c r="AX437" s="3" t="s">
        <v>125</v>
      </c>
      <c r="AY437" s="4">
        <v>252905</v>
      </c>
      <c r="AZ437" s="4">
        <f t="shared" si="665"/>
        <v>41109.160000000033</v>
      </c>
    </row>
    <row r="438" spans="1:52">
      <c r="A438" s="38" t="s">
        <v>128</v>
      </c>
      <c r="B438" s="13"/>
      <c r="C438" s="56"/>
      <c r="D438" s="56"/>
      <c r="E438" s="55"/>
      <c r="F438" s="55"/>
      <c r="G438" s="1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71">
        <f t="shared" si="693"/>
        <v>0</v>
      </c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71">
        <f t="shared" si="689"/>
        <v>0</v>
      </c>
      <c r="AP438" s="71">
        <f t="shared" si="690"/>
        <v>0</v>
      </c>
      <c r="AQ438" s="71">
        <f t="shared" si="691"/>
        <v>0</v>
      </c>
      <c r="AR438" s="39"/>
      <c r="AS438" s="39"/>
      <c r="AT438" s="39"/>
      <c r="AU438" s="39"/>
      <c r="AV438" s="39"/>
      <c r="AW438" s="39">
        <f t="shared" si="692"/>
        <v>0</v>
      </c>
      <c r="AX438" s="1"/>
      <c r="AZ438" s="2">
        <f t="shared" si="665"/>
        <v>0</v>
      </c>
    </row>
    <row r="439" spans="1:52" s="5" customFormat="1" ht="30">
      <c r="A439" s="149" t="s">
        <v>129</v>
      </c>
      <c r="B439" s="133" t="s">
        <v>26</v>
      </c>
      <c r="C439" s="150">
        <v>66</v>
      </c>
      <c r="D439" s="7" t="s">
        <v>21</v>
      </c>
      <c r="E439" s="7">
        <v>42108801</v>
      </c>
      <c r="F439" s="8" t="s">
        <v>44</v>
      </c>
      <c r="G439" s="7">
        <v>52</v>
      </c>
      <c r="H439" s="9"/>
      <c r="I439" s="9"/>
      <c r="J439" s="9"/>
      <c r="K439" s="9"/>
      <c r="L439" s="9"/>
      <c r="M439" s="9"/>
      <c r="N439" s="9">
        <v>19976.03</v>
      </c>
      <c r="O439" s="9">
        <f>H439+N439</f>
        <v>19976.03</v>
      </c>
      <c r="P439" s="9">
        <v>13170000</v>
      </c>
      <c r="Q439" s="9"/>
      <c r="R439" s="9"/>
      <c r="S439" s="9"/>
      <c r="T439" s="9">
        <f>SUM(P439:S439)</f>
        <v>13170000</v>
      </c>
      <c r="U439" s="9">
        <v>2680204.6800000002</v>
      </c>
      <c r="V439" s="9">
        <f t="shared" ref="V439:V442" si="774">O439+U439</f>
        <v>2700180.71</v>
      </c>
      <c r="W439" s="9">
        <v>3378000</v>
      </c>
      <c r="X439" s="9">
        <v>7111000</v>
      </c>
      <c r="Y439" s="9"/>
      <c r="Z439" s="9"/>
      <c r="AA439" s="9"/>
      <c r="AB439" s="9"/>
      <c r="AC439" s="9"/>
      <c r="AD439" s="66">
        <f t="shared" si="693"/>
        <v>10489000</v>
      </c>
      <c r="AE439" s="9">
        <v>5755257.3199999994</v>
      </c>
      <c r="AF439" s="9">
        <f t="shared" ref="AF439:AF441" si="775">V439+AE439</f>
        <v>8455438.0299999993</v>
      </c>
      <c r="AG439" s="9">
        <v>829000</v>
      </c>
      <c r="AH439" s="9"/>
      <c r="AI439" s="9">
        <v>3905000</v>
      </c>
      <c r="AJ439" s="9"/>
      <c r="AK439" s="9"/>
      <c r="AL439" s="9"/>
      <c r="AM439" s="9"/>
      <c r="AN439" s="9"/>
      <c r="AO439" s="66">
        <f t="shared" si="689"/>
        <v>4734000</v>
      </c>
      <c r="AP439" s="66">
        <f t="shared" si="690"/>
        <v>0</v>
      </c>
      <c r="AQ439" s="66">
        <f t="shared" si="691"/>
        <v>4734000</v>
      </c>
      <c r="AR439" s="9">
        <v>-321.43</v>
      </c>
      <c r="AS439" s="9"/>
      <c r="AT439" s="9"/>
      <c r="AU439" s="9"/>
      <c r="AV439" s="9"/>
      <c r="AW439" s="9">
        <f t="shared" si="692"/>
        <v>13189116.6</v>
      </c>
      <c r="AX439" s="9" t="s">
        <v>48</v>
      </c>
      <c r="AY439" s="5">
        <v>13189116.6</v>
      </c>
      <c r="AZ439" s="5">
        <f t="shared" si="665"/>
        <v>0</v>
      </c>
    </row>
    <row r="440" spans="1:52" s="5" customFormat="1" ht="30">
      <c r="A440" s="149"/>
      <c r="B440" s="133"/>
      <c r="C440" s="150"/>
      <c r="D440" s="7" t="s">
        <v>21</v>
      </c>
      <c r="E440" s="7">
        <v>421028802</v>
      </c>
      <c r="F440" s="8" t="s">
        <v>45</v>
      </c>
      <c r="G440" s="7">
        <v>52</v>
      </c>
      <c r="H440" s="9"/>
      <c r="I440" s="9"/>
      <c r="J440" s="9"/>
      <c r="K440" s="9"/>
      <c r="L440" s="9"/>
      <c r="M440" s="9"/>
      <c r="N440" s="9"/>
      <c r="O440" s="9">
        <f t="shared" ref="O440:O442" si="776">H440+N440</f>
        <v>0</v>
      </c>
      <c r="P440" s="9"/>
      <c r="Q440" s="9"/>
      <c r="R440" s="9"/>
      <c r="S440" s="9"/>
      <c r="T440" s="9">
        <f t="shared" ref="T440:T442" si="777">SUM(P440:S440)</f>
        <v>0</v>
      </c>
      <c r="U440" s="9"/>
      <c r="V440" s="9">
        <f t="shared" si="774"/>
        <v>0</v>
      </c>
      <c r="W440" s="9"/>
      <c r="X440" s="9"/>
      <c r="Y440" s="9"/>
      <c r="Z440" s="9"/>
      <c r="AA440" s="9"/>
      <c r="AB440" s="9"/>
      <c r="AC440" s="9"/>
      <c r="AD440" s="66">
        <f t="shared" si="693"/>
        <v>0</v>
      </c>
      <c r="AE440" s="9"/>
      <c r="AF440" s="9">
        <f t="shared" si="775"/>
        <v>0</v>
      </c>
      <c r="AG440" s="9"/>
      <c r="AH440" s="9"/>
      <c r="AI440" s="9"/>
      <c r="AJ440" s="9"/>
      <c r="AK440" s="9"/>
      <c r="AL440" s="9"/>
      <c r="AM440" s="9"/>
      <c r="AN440" s="9"/>
      <c r="AO440" s="66">
        <f t="shared" si="689"/>
        <v>0</v>
      </c>
      <c r="AP440" s="66">
        <f t="shared" si="690"/>
        <v>0</v>
      </c>
      <c r="AQ440" s="66">
        <f t="shared" si="691"/>
        <v>0</v>
      </c>
      <c r="AR440" s="9"/>
      <c r="AS440" s="9"/>
      <c r="AT440" s="9"/>
      <c r="AU440" s="9"/>
      <c r="AV440" s="9"/>
      <c r="AW440" s="9">
        <f t="shared" si="692"/>
        <v>0</v>
      </c>
      <c r="AX440" s="9" t="s">
        <v>48</v>
      </c>
      <c r="AY440" s="5">
        <v>0</v>
      </c>
      <c r="AZ440" s="5">
        <f t="shared" si="665"/>
        <v>0</v>
      </c>
    </row>
    <row r="441" spans="1:52" s="5" customFormat="1">
      <c r="A441" s="149"/>
      <c r="B441" s="133"/>
      <c r="C441" s="150"/>
      <c r="D441" s="7" t="s">
        <v>21</v>
      </c>
      <c r="E441" s="7">
        <v>42108803</v>
      </c>
      <c r="F441" s="8" t="s">
        <v>46</v>
      </c>
      <c r="G441" s="7">
        <v>52</v>
      </c>
      <c r="H441" s="9"/>
      <c r="I441" s="9"/>
      <c r="J441" s="9"/>
      <c r="K441" s="9"/>
      <c r="L441" s="9"/>
      <c r="M441" s="9"/>
      <c r="N441" s="9">
        <v>151.82</v>
      </c>
      <c r="O441" s="9">
        <f t="shared" si="776"/>
        <v>151.82</v>
      </c>
      <c r="P441" s="9">
        <v>2506000</v>
      </c>
      <c r="Q441" s="9"/>
      <c r="R441" s="9"/>
      <c r="S441" s="9"/>
      <c r="T441" s="9">
        <f t="shared" si="777"/>
        <v>2506000</v>
      </c>
      <c r="U441" s="9">
        <v>509238.89</v>
      </c>
      <c r="V441" s="9">
        <f t="shared" si="774"/>
        <v>509390.71</v>
      </c>
      <c r="W441" s="9">
        <v>642000</v>
      </c>
      <c r="X441" s="9">
        <v>1355000</v>
      </c>
      <c r="Y441" s="9"/>
      <c r="Z441" s="9"/>
      <c r="AA441" s="9"/>
      <c r="AB441" s="9"/>
      <c r="AC441" s="9"/>
      <c r="AD441" s="66">
        <f t="shared" si="693"/>
        <v>1997000</v>
      </c>
      <c r="AE441" s="9">
        <v>1093498.9000000001</v>
      </c>
      <c r="AF441" s="9">
        <f t="shared" si="775"/>
        <v>1602889.61</v>
      </c>
      <c r="AG441" s="9">
        <v>173999.9</v>
      </c>
      <c r="AH441" s="9"/>
      <c r="AI441" s="9">
        <v>730000</v>
      </c>
      <c r="AJ441" s="9"/>
      <c r="AK441" s="9"/>
      <c r="AL441" s="9"/>
      <c r="AM441" s="9"/>
      <c r="AN441" s="9"/>
      <c r="AO441" s="66">
        <f t="shared" si="689"/>
        <v>903999.9</v>
      </c>
      <c r="AP441" s="66">
        <f t="shared" si="690"/>
        <v>0</v>
      </c>
      <c r="AQ441" s="66">
        <f t="shared" si="691"/>
        <v>903999.9</v>
      </c>
      <c r="AR441" s="9">
        <v>-957.36</v>
      </c>
      <c r="AS441" s="9"/>
      <c r="AT441" s="9"/>
      <c r="AU441" s="9"/>
      <c r="AV441" s="9"/>
      <c r="AW441" s="9">
        <f t="shared" si="692"/>
        <v>2505932.1500000004</v>
      </c>
      <c r="AX441" s="9" t="s">
        <v>48</v>
      </c>
      <c r="AY441" s="5">
        <v>2505932.15</v>
      </c>
      <c r="AZ441" s="5">
        <f t="shared" si="665"/>
        <v>0</v>
      </c>
    </row>
    <row r="442" spans="1:52" s="5" customFormat="1">
      <c r="A442" s="149"/>
      <c r="B442" s="133"/>
      <c r="C442" s="150"/>
      <c r="D442" s="7"/>
      <c r="E442" s="7"/>
      <c r="F442" s="8" t="s">
        <v>19</v>
      </c>
      <c r="G442" s="7">
        <v>52</v>
      </c>
      <c r="H442" s="9">
        <f>H286</f>
        <v>0</v>
      </c>
      <c r="I442" s="9"/>
      <c r="J442" s="9"/>
      <c r="K442" s="9"/>
      <c r="L442" s="9"/>
      <c r="M442" s="9"/>
      <c r="N442" s="9">
        <f>N286</f>
        <v>5062.1499999999996</v>
      </c>
      <c r="O442" s="9">
        <f t="shared" si="776"/>
        <v>5062.1499999999996</v>
      </c>
      <c r="P442" s="9">
        <f t="shared" ref="P442:U442" si="778">P286</f>
        <v>3943000</v>
      </c>
      <c r="Q442" s="9">
        <f t="shared" si="778"/>
        <v>0</v>
      </c>
      <c r="R442" s="9">
        <f t="shared" si="778"/>
        <v>0</v>
      </c>
      <c r="S442" s="9">
        <f t="shared" si="778"/>
        <v>0</v>
      </c>
      <c r="T442" s="9">
        <f t="shared" si="777"/>
        <v>3943000</v>
      </c>
      <c r="U442" s="9">
        <f t="shared" si="778"/>
        <v>802145.03</v>
      </c>
      <c r="V442" s="9">
        <f t="shared" si="774"/>
        <v>807207.18</v>
      </c>
      <c r="W442" s="9">
        <f>W289</f>
        <v>1011000</v>
      </c>
      <c r="X442" s="9">
        <f>X289</f>
        <v>2130000</v>
      </c>
      <c r="Y442" s="9">
        <f>Y289</f>
        <v>0</v>
      </c>
      <c r="Z442" s="9">
        <f>Z289</f>
        <v>0</v>
      </c>
      <c r="AA442" s="9"/>
      <c r="AB442" s="9"/>
      <c r="AC442" s="9"/>
      <c r="AD442" s="66">
        <f>SUM(W442:Z442)</f>
        <v>3141000</v>
      </c>
      <c r="AE442" s="9">
        <f t="shared" ref="AE442:AN442" si="779">AE289</f>
        <v>1722462.22</v>
      </c>
      <c r="AF442" s="9">
        <f t="shared" si="779"/>
        <v>2529669.4</v>
      </c>
      <c r="AG442" s="9">
        <f t="shared" si="779"/>
        <v>253000</v>
      </c>
      <c r="AH442" s="9">
        <f t="shared" si="779"/>
        <v>0</v>
      </c>
      <c r="AI442" s="9">
        <f t="shared" si="779"/>
        <v>1165000</v>
      </c>
      <c r="AJ442" s="9">
        <f t="shared" si="779"/>
        <v>0</v>
      </c>
      <c r="AK442" s="9">
        <f t="shared" si="779"/>
        <v>0</v>
      </c>
      <c r="AL442" s="9">
        <f t="shared" si="779"/>
        <v>0</v>
      </c>
      <c r="AM442" s="9">
        <f t="shared" si="779"/>
        <v>0</v>
      </c>
      <c r="AN442" s="9">
        <f t="shared" si="779"/>
        <v>0</v>
      </c>
      <c r="AO442" s="66">
        <f t="shared" si="689"/>
        <v>1418000</v>
      </c>
      <c r="AP442" s="66">
        <f t="shared" si="690"/>
        <v>0</v>
      </c>
      <c r="AQ442" s="66">
        <f t="shared" si="691"/>
        <v>1418000</v>
      </c>
      <c r="AR442" s="9">
        <f t="shared" ref="AR442:AV442" si="780">AR289</f>
        <v>-364.63</v>
      </c>
      <c r="AS442" s="9">
        <f t="shared" si="780"/>
        <v>0</v>
      </c>
      <c r="AT442" s="9">
        <f t="shared" si="780"/>
        <v>0</v>
      </c>
      <c r="AU442" s="9">
        <f t="shared" si="780"/>
        <v>0</v>
      </c>
      <c r="AV442" s="9">
        <f t="shared" si="780"/>
        <v>0</v>
      </c>
      <c r="AW442" s="9">
        <f t="shared" si="692"/>
        <v>3947304.77</v>
      </c>
      <c r="AX442" s="9" t="s">
        <v>48</v>
      </c>
      <c r="AY442" s="5">
        <v>3947304.77</v>
      </c>
      <c r="AZ442" s="5">
        <f t="shared" si="665"/>
        <v>0</v>
      </c>
    </row>
    <row r="443" spans="1:52" s="5" customFormat="1">
      <c r="A443" s="149"/>
      <c r="B443" s="133"/>
      <c r="C443" s="150"/>
      <c r="D443" s="7" t="s">
        <v>21</v>
      </c>
      <c r="E443" s="7"/>
      <c r="F443" s="7" t="s">
        <v>97</v>
      </c>
      <c r="G443" s="7">
        <v>52</v>
      </c>
      <c r="H443" s="9">
        <f>H448-H439-H440-H441-H442</f>
        <v>0</v>
      </c>
      <c r="I443" s="9"/>
      <c r="J443" s="9"/>
      <c r="K443" s="9"/>
      <c r="L443" s="9"/>
      <c r="M443" s="9"/>
      <c r="N443" s="9">
        <f t="shared" ref="N443:S443" si="781">N448-N439-N440-N441-N442</f>
        <v>0</v>
      </c>
      <c r="O443" s="9">
        <f t="shared" si="781"/>
        <v>0</v>
      </c>
      <c r="P443" s="9">
        <f t="shared" si="781"/>
        <v>0</v>
      </c>
      <c r="Q443" s="9">
        <f t="shared" si="781"/>
        <v>0</v>
      </c>
      <c r="R443" s="9">
        <f t="shared" si="781"/>
        <v>0</v>
      </c>
      <c r="S443" s="9">
        <f t="shared" si="781"/>
        <v>0</v>
      </c>
      <c r="T443" s="9">
        <f>T448-T439-T440-T441-T442</f>
        <v>0</v>
      </c>
      <c r="U443" s="9">
        <f t="shared" ref="U443" si="782">U448-U439-U440-U441-U442</f>
        <v>0</v>
      </c>
      <c r="V443" s="9">
        <f>V448-V439-V440-V441-V442</f>
        <v>0</v>
      </c>
      <c r="W443" s="9">
        <f t="shared" ref="W443:AD443" si="783">W448-W439-W440-W441-W442</f>
        <v>0</v>
      </c>
      <c r="X443" s="9">
        <f t="shared" si="783"/>
        <v>0</v>
      </c>
      <c r="Y443" s="9">
        <f t="shared" si="783"/>
        <v>0</v>
      </c>
      <c r="Z443" s="9">
        <f t="shared" si="783"/>
        <v>0</v>
      </c>
      <c r="AA443" s="9"/>
      <c r="AB443" s="9"/>
      <c r="AC443" s="9"/>
      <c r="AD443" s="66">
        <f t="shared" si="783"/>
        <v>0</v>
      </c>
      <c r="AE443" s="9">
        <f t="shared" ref="AE443" si="784">AE448-AE439-AE440-AE441-AE442</f>
        <v>0</v>
      </c>
      <c r="AF443" s="9">
        <f t="shared" ref="AF443:AW443" si="785">AF448-AF439-AF440-AF441-AF442</f>
        <v>0</v>
      </c>
      <c r="AG443" s="9">
        <f t="shared" si="785"/>
        <v>0.10000000000582077</v>
      </c>
      <c r="AH443" s="9">
        <f t="shared" si="785"/>
        <v>0</v>
      </c>
      <c r="AI443" s="9">
        <f t="shared" si="785"/>
        <v>0</v>
      </c>
      <c r="AJ443" s="9">
        <f t="shared" si="785"/>
        <v>0</v>
      </c>
      <c r="AK443" s="9">
        <f t="shared" si="785"/>
        <v>0</v>
      </c>
      <c r="AL443" s="9">
        <f t="shared" si="785"/>
        <v>0</v>
      </c>
      <c r="AM443" s="9">
        <f t="shared" si="785"/>
        <v>0</v>
      </c>
      <c r="AN443" s="9">
        <f t="shared" si="785"/>
        <v>0</v>
      </c>
      <c r="AO443" s="66">
        <f t="shared" si="785"/>
        <v>0.10000000009313226</v>
      </c>
      <c r="AP443" s="66">
        <f t="shared" si="785"/>
        <v>0</v>
      </c>
      <c r="AQ443" s="66">
        <f t="shared" si="785"/>
        <v>0.10000000009313226</v>
      </c>
      <c r="AR443" s="9">
        <f t="shared" si="785"/>
        <v>-9.9999999999909051E-2</v>
      </c>
      <c r="AS443" s="9">
        <f t="shared" si="785"/>
        <v>0</v>
      </c>
      <c r="AT443" s="9">
        <f t="shared" si="785"/>
        <v>0</v>
      </c>
      <c r="AU443" s="9">
        <f t="shared" si="785"/>
        <v>0</v>
      </c>
      <c r="AV443" s="9">
        <f t="shared" si="785"/>
        <v>0</v>
      </c>
      <c r="AW443" s="9">
        <f t="shared" si="785"/>
        <v>0</v>
      </c>
      <c r="AX443" s="9" t="s">
        <v>48</v>
      </c>
      <c r="AY443" s="5">
        <v>0</v>
      </c>
      <c r="AZ443" s="5">
        <f t="shared" si="665"/>
        <v>0</v>
      </c>
    </row>
    <row r="444" spans="1:52" s="5" customFormat="1">
      <c r="A444" s="149"/>
      <c r="B444" s="133"/>
      <c r="C444" s="150"/>
      <c r="D444" s="7" t="s">
        <v>21</v>
      </c>
      <c r="E444" s="7"/>
      <c r="F444" s="7" t="s">
        <v>47</v>
      </c>
      <c r="G444" s="7">
        <v>52</v>
      </c>
      <c r="H444" s="9">
        <f>SUM(H439:H443)</f>
        <v>0</v>
      </c>
      <c r="I444" s="9"/>
      <c r="J444" s="9"/>
      <c r="K444" s="9"/>
      <c r="L444" s="9"/>
      <c r="M444" s="9"/>
      <c r="N444" s="9">
        <f>SUM(N439:N443)</f>
        <v>25190</v>
      </c>
      <c r="O444" s="9">
        <f t="shared" ref="O444:S444" si="786">SUM(O439:O443)</f>
        <v>25190</v>
      </c>
      <c r="P444" s="9">
        <f t="shared" si="786"/>
        <v>19619000</v>
      </c>
      <c r="Q444" s="9">
        <f t="shared" si="786"/>
        <v>0</v>
      </c>
      <c r="R444" s="9">
        <f t="shared" si="786"/>
        <v>0</v>
      </c>
      <c r="S444" s="9">
        <f t="shared" si="786"/>
        <v>0</v>
      </c>
      <c r="T444" s="9">
        <f>SUM(T439:T443)</f>
        <v>19619000</v>
      </c>
      <c r="U444" s="9">
        <f t="shared" ref="U444:V444" si="787">SUM(U439:U443)</f>
        <v>3991588.6000000006</v>
      </c>
      <c r="V444" s="9">
        <f t="shared" si="787"/>
        <v>4016778.6</v>
      </c>
      <c r="W444" s="9">
        <f t="shared" ref="W444:AD444" si="788">SUM(W439:W443)</f>
        <v>5031000</v>
      </c>
      <c r="X444" s="9">
        <f t="shared" si="788"/>
        <v>10596000</v>
      </c>
      <c r="Y444" s="9">
        <f t="shared" si="788"/>
        <v>0</v>
      </c>
      <c r="Z444" s="9">
        <f t="shared" si="788"/>
        <v>0</v>
      </c>
      <c r="AA444" s="9"/>
      <c r="AB444" s="9"/>
      <c r="AC444" s="9"/>
      <c r="AD444" s="66">
        <f t="shared" si="788"/>
        <v>15627000</v>
      </c>
      <c r="AE444" s="9">
        <f t="shared" ref="AE444" si="789">SUM(AE439:AE443)</f>
        <v>8571218.4399999995</v>
      </c>
      <c r="AF444" s="9">
        <f t="shared" ref="AF444:AW444" si="790">SUM(AF439:AF443)</f>
        <v>12587997.039999999</v>
      </c>
      <c r="AG444" s="9">
        <f t="shared" si="790"/>
        <v>1256000</v>
      </c>
      <c r="AH444" s="9">
        <f t="shared" si="790"/>
        <v>0</v>
      </c>
      <c r="AI444" s="9">
        <f t="shared" si="790"/>
        <v>5800000</v>
      </c>
      <c r="AJ444" s="9">
        <f t="shared" si="790"/>
        <v>0</v>
      </c>
      <c r="AK444" s="9">
        <f t="shared" si="790"/>
        <v>0</v>
      </c>
      <c r="AL444" s="9">
        <f t="shared" si="790"/>
        <v>0</v>
      </c>
      <c r="AM444" s="9">
        <f t="shared" si="790"/>
        <v>0</v>
      </c>
      <c r="AN444" s="9">
        <f t="shared" si="790"/>
        <v>0</v>
      </c>
      <c r="AO444" s="66">
        <f t="shared" si="790"/>
        <v>7056000</v>
      </c>
      <c r="AP444" s="66">
        <f t="shared" si="790"/>
        <v>0</v>
      </c>
      <c r="AQ444" s="66">
        <f t="shared" si="790"/>
        <v>7056000</v>
      </c>
      <c r="AR444" s="9">
        <f t="shared" si="790"/>
        <v>-1643.52</v>
      </c>
      <c r="AS444" s="9">
        <f t="shared" si="790"/>
        <v>0</v>
      </c>
      <c r="AT444" s="9">
        <f t="shared" si="790"/>
        <v>0</v>
      </c>
      <c r="AU444" s="9">
        <f t="shared" si="790"/>
        <v>0</v>
      </c>
      <c r="AV444" s="9">
        <f t="shared" si="790"/>
        <v>0</v>
      </c>
      <c r="AW444" s="9">
        <f t="shared" si="790"/>
        <v>19642353.52</v>
      </c>
      <c r="AX444" s="9" t="s">
        <v>48</v>
      </c>
      <c r="AY444" s="5">
        <v>19642353.52</v>
      </c>
      <c r="AZ444" s="5">
        <f t="shared" si="665"/>
        <v>0</v>
      </c>
    </row>
    <row r="445" spans="1:52" s="4" customFormat="1" ht="30">
      <c r="A445" s="149"/>
      <c r="B445" s="133"/>
      <c r="C445" s="150"/>
      <c r="D445" s="25" t="s">
        <v>22</v>
      </c>
      <c r="E445" s="25">
        <v>6001</v>
      </c>
      <c r="F445" s="37" t="s">
        <v>44</v>
      </c>
      <c r="G445" s="25">
        <v>52</v>
      </c>
      <c r="H445" s="26"/>
      <c r="I445" s="26"/>
      <c r="J445" s="26"/>
      <c r="K445" s="26"/>
      <c r="L445" s="26"/>
      <c r="M445" s="26"/>
      <c r="N445" s="26">
        <v>19976.03</v>
      </c>
      <c r="O445" s="26">
        <f t="shared" ref="O445:O447" si="791">H445+N445</f>
        <v>19976.03</v>
      </c>
      <c r="P445" s="26">
        <v>13170000</v>
      </c>
      <c r="Q445" s="26"/>
      <c r="R445" s="26"/>
      <c r="S445" s="26"/>
      <c r="T445" s="26">
        <f t="shared" ref="T445:T447" si="792">SUM(P445:S445)</f>
        <v>13170000</v>
      </c>
      <c r="U445" s="26">
        <v>2680204.6800000002</v>
      </c>
      <c r="V445" s="26">
        <f t="shared" ref="V445:V451" si="793">O445+U445</f>
        <v>2700180.71</v>
      </c>
      <c r="W445" s="26">
        <f>3377539.16+460.83999999985</f>
        <v>3378000</v>
      </c>
      <c r="X445" s="26">
        <f>7114458.59-3061.86-460.83999999985+64.1100000003352</f>
        <v>7111000</v>
      </c>
      <c r="Y445" s="26"/>
      <c r="Z445" s="26"/>
      <c r="AA445" s="26"/>
      <c r="AB445" s="26"/>
      <c r="AC445" s="26"/>
      <c r="AD445" s="67">
        <f t="shared" si="693"/>
        <v>10489000</v>
      </c>
      <c r="AE445" s="26">
        <v>5755257.3199999994</v>
      </c>
      <c r="AF445" s="26">
        <f t="shared" ref="AF445:AF451" si="794">V445+AE445</f>
        <v>8455438.0299999993</v>
      </c>
      <c r="AG445" s="26">
        <f>828128.88+871.12</f>
        <v>829000</v>
      </c>
      <c r="AH445" s="26"/>
      <c r="AI445" s="26">
        <f>3905549.69-871.12+321.43</f>
        <v>3905000</v>
      </c>
      <c r="AJ445" s="26"/>
      <c r="AK445" s="26"/>
      <c r="AL445" s="26"/>
      <c r="AM445" s="26"/>
      <c r="AN445" s="26"/>
      <c r="AO445" s="67">
        <f t="shared" si="689"/>
        <v>4734000</v>
      </c>
      <c r="AP445" s="67">
        <f t="shared" si="690"/>
        <v>0</v>
      </c>
      <c r="AQ445" s="67">
        <f t="shared" si="691"/>
        <v>4734000</v>
      </c>
      <c r="AR445" s="26">
        <v>-321.43</v>
      </c>
      <c r="AS445" s="26"/>
      <c r="AT445" s="26"/>
      <c r="AU445" s="26"/>
      <c r="AV445" s="26"/>
      <c r="AW445" s="26">
        <f t="shared" si="692"/>
        <v>13189116.6</v>
      </c>
      <c r="AX445" s="26" t="s">
        <v>48</v>
      </c>
      <c r="AY445" s="4">
        <v>13189116.6</v>
      </c>
      <c r="AZ445" s="4">
        <f t="shared" si="665"/>
        <v>0</v>
      </c>
    </row>
    <row r="446" spans="1:52" s="4" customFormat="1" ht="30">
      <c r="A446" s="149"/>
      <c r="B446" s="133"/>
      <c r="C446" s="150"/>
      <c r="D446" s="25" t="s">
        <v>22</v>
      </c>
      <c r="E446" s="25">
        <v>6002</v>
      </c>
      <c r="F446" s="37" t="s">
        <v>45</v>
      </c>
      <c r="G446" s="25">
        <v>52</v>
      </c>
      <c r="H446" s="26">
        <f>H289</f>
        <v>0</v>
      </c>
      <c r="I446" s="26"/>
      <c r="J446" s="26"/>
      <c r="K446" s="26"/>
      <c r="L446" s="26"/>
      <c r="M446" s="26"/>
      <c r="N446" s="26">
        <f>N289</f>
        <v>5062.1499999999996</v>
      </c>
      <c r="O446" s="26">
        <f t="shared" si="791"/>
        <v>5062.1499999999996</v>
      </c>
      <c r="P446" s="26">
        <f t="shared" ref="P446:U446" si="795">P289</f>
        <v>3943000</v>
      </c>
      <c r="Q446" s="26">
        <f t="shared" si="795"/>
        <v>0</v>
      </c>
      <c r="R446" s="26">
        <f t="shared" si="795"/>
        <v>0</v>
      </c>
      <c r="S446" s="26">
        <f t="shared" si="795"/>
        <v>0</v>
      </c>
      <c r="T446" s="26">
        <f t="shared" si="792"/>
        <v>3943000</v>
      </c>
      <c r="U446" s="26">
        <f t="shared" si="795"/>
        <v>802145.03</v>
      </c>
      <c r="V446" s="26">
        <f t="shared" si="793"/>
        <v>807207.18</v>
      </c>
      <c r="W446" s="26">
        <f>1010846.83+153.170000000042</f>
        <v>1011000</v>
      </c>
      <c r="X446" s="26">
        <f>2129250.76-153.170000000042+902.410000000149</f>
        <v>2130000</v>
      </c>
      <c r="Y446" s="26"/>
      <c r="Z446" s="26"/>
      <c r="AA446" s="26"/>
      <c r="AB446" s="26"/>
      <c r="AC446" s="26"/>
      <c r="AD446" s="67">
        <f t="shared" si="693"/>
        <v>3141000</v>
      </c>
      <c r="AE446" s="26">
        <v>1722462.2199999997</v>
      </c>
      <c r="AF446" s="26">
        <f t="shared" si="794"/>
        <v>2529669.4</v>
      </c>
      <c r="AG446" s="26">
        <v>253000</v>
      </c>
      <c r="AH446" s="26">
        <v>0</v>
      </c>
      <c r="AI446" s="26">
        <v>1165000</v>
      </c>
      <c r="AJ446" s="26"/>
      <c r="AK446" s="26"/>
      <c r="AL446" s="26"/>
      <c r="AM446" s="26"/>
      <c r="AN446" s="26"/>
      <c r="AO446" s="67">
        <f t="shared" si="689"/>
        <v>1418000</v>
      </c>
      <c r="AP446" s="67">
        <f t="shared" si="690"/>
        <v>0</v>
      </c>
      <c r="AQ446" s="67">
        <f t="shared" si="691"/>
        <v>1418000</v>
      </c>
      <c r="AR446" s="26">
        <v>-364.63</v>
      </c>
      <c r="AS446" s="26"/>
      <c r="AT446" s="26"/>
      <c r="AU446" s="26"/>
      <c r="AV446" s="26"/>
      <c r="AW446" s="26">
        <f t="shared" si="692"/>
        <v>3947304.77</v>
      </c>
      <c r="AX446" s="26" t="s">
        <v>48</v>
      </c>
      <c r="AY446" s="4">
        <v>3947304.77</v>
      </c>
      <c r="AZ446" s="4">
        <f t="shared" si="665"/>
        <v>0</v>
      </c>
    </row>
    <row r="447" spans="1:52" s="4" customFormat="1">
      <c r="A447" s="149"/>
      <c r="B447" s="133"/>
      <c r="C447" s="150"/>
      <c r="D447" s="25" t="s">
        <v>22</v>
      </c>
      <c r="E447" s="25">
        <v>6003</v>
      </c>
      <c r="F447" s="37" t="s">
        <v>46</v>
      </c>
      <c r="G447" s="25">
        <v>52</v>
      </c>
      <c r="H447" s="26"/>
      <c r="I447" s="26"/>
      <c r="J447" s="26"/>
      <c r="K447" s="26"/>
      <c r="L447" s="26"/>
      <c r="M447" s="26"/>
      <c r="N447" s="26">
        <v>151.82</v>
      </c>
      <c r="O447" s="26">
        <f t="shared" si="791"/>
        <v>151.82</v>
      </c>
      <c r="P447" s="26">
        <v>2506000</v>
      </c>
      <c r="Q447" s="26"/>
      <c r="R447" s="26"/>
      <c r="S447" s="26"/>
      <c r="T447" s="26">
        <f t="shared" si="792"/>
        <v>2506000</v>
      </c>
      <c r="U447" s="26">
        <v>509238.89</v>
      </c>
      <c r="V447" s="26">
        <f t="shared" si="793"/>
        <v>509390.71</v>
      </c>
      <c r="W447" s="26">
        <f>641732.45+267.550000000046</f>
        <v>642000</v>
      </c>
      <c r="X447" s="26">
        <f>1351747.13+3061.86-267.550000000046+458.560000000055</f>
        <v>1355000</v>
      </c>
      <c r="Y447" s="26"/>
      <c r="Z447" s="26"/>
      <c r="AA447" s="26"/>
      <c r="AB447" s="26"/>
      <c r="AC447" s="26"/>
      <c r="AD447" s="67">
        <f t="shared" si="693"/>
        <v>1997000</v>
      </c>
      <c r="AE447" s="26">
        <v>1093498.9000000001</v>
      </c>
      <c r="AF447" s="26">
        <f t="shared" si="794"/>
        <v>1602889.61</v>
      </c>
      <c r="AG447" s="26">
        <f>173907.06+92.84+0.1</f>
        <v>174000</v>
      </c>
      <c r="AH447" s="26"/>
      <c r="AI447" s="26">
        <f>729135.48-92.84+957.36</f>
        <v>730000</v>
      </c>
      <c r="AJ447" s="26"/>
      <c r="AK447" s="26"/>
      <c r="AL447" s="26"/>
      <c r="AM447" s="26"/>
      <c r="AN447" s="26"/>
      <c r="AO447" s="67">
        <f t="shared" si="689"/>
        <v>904000</v>
      </c>
      <c r="AP447" s="67">
        <f t="shared" si="690"/>
        <v>0</v>
      </c>
      <c r="AQ447" s="67">
        <f t="shared" si="691"/>
        <v>904000</v>
      </c>
      <c r="AR447" s="26">
        <f>-957.36-0.1</f>
        <v>-957.46</v>
      </c>
      <c r="AS447" s="26"/>
      <c r="AT447" s="26"/>
      <c r="AU447" s="26"/>
      <c r="AV447" s="26"/>
      <c r="AW447" s="26">
        <f t="shared" si="692"/>
        <v>2505932.1500000004</v>
      </c>
      <c r="AX447" s="26" t="s">
        <v>48</v>
      </c>
      <c r="AY447" s="4">
        <v>2505932.15</v>
      </c>
      <c r="AZ447" s="4">
        <f t="shared" si="665"/>
        <v>0</v>
      </c>
    </row>
    <row r="448" spans="1:52" s="4" customFormat="1">
      <c r="A448" s="149"/>
      <c r="B448" s="133"/>
      <c r="C448" s="150"/>
      <c r="D448" s="25" t="s">
        <v>22</v>
      </c>
      <c r="E448" s="25"/>
      <c r="F448" s="25" t="s">
        <v>29</v>
      </c>
      <c r="G448" s="25">
        <v>52</v>
      </c>
      <c r="H448" s="26">
        <f>SUM(H445:H447)</f>
        <v>0</v>
      </c>
      <c r="I448" s="26"/>
      <c r="J448" s="26"/>
      <c r="K448" s="26"/>
      <c r="L448" s="26"/>
      <c r="M448" s="26"/>
      <c r="N448" s="26">
        <f t="shared" ref="N448:AW448" si="796">SUM(N445:N447)</f>
        <v>25190</v>
      </c>
      <c r="O448" s="26">
        <f t="shared" si="796"/>
        <v>25190</v>
      </c>
      <c r="P448" s="26">
        <f t="shared" si="796"/>
        <v>19619000</v>
      </c>
      <c r="Q448" s="26">
        <f t="shared" si="796"/>
        <v>0</v>
      </c>
      <c r="R448" s="26">
        <f t="shared" si="796"/>
        <v>0</v>
      </c>
      <c r="S448" s="26">
        <f t="shared" si="796"/>
        <v>0</v>
      </c>
      <c r="T448" s="26">
        <f t="shared" si="796"/>
        <v>19619000</v>
      </c>
      <c r="U448" s="26">
        <f t="shared" si="796"/>
        <v>3991588.6</v>
      </c>
      <c r="V448" s="26">
        <f t="shared" si="796"/>
        <v>4016778.6</v>
      </c>
      <c r="W448" s="26">
        <f t="shared" si="796"/>
        <v>5031000</v>
      </c>
      <c r="X448" s="26">
        <f t="shared" si="796"/>
        <v>10596000</v>
      </c>
      <c r="Y448" s="26">
        <f t="shared" si="796"/>
        <v>0</v>
      </c>
      <c r="Z448" s="26">
        <f t="shared" si="796"/>
        <v>0</v>
      </c>
      <c r="AA448" s="26"/>
      <c r="AB448" s="26"/>
      <c r="AC448" s="26"/>
      <c r="AD448" s="67">
        <f t="shared" si="796"/>
        <v>15627000</v>
      </c>
      <c r="AE448" s="26">
        <f t="shared" si="796"/>
        <v>8571218.4399999995</v>
      </c>
      <c r="AF448" s="26">
        <f t="shared" si="796"/>
        <v>12587997.039999999</v>
      </c>
      <c r="AG448" s="26">
        <f t="shared" si="796"/>
        <v>1256000</v>
      </c>
      <c r="AH448" s="26">
        <f t="shared" si="796"/>
        <v>0</v>
      </c>
      <c r="AI448" s="26">
        <f t="shared" si="796"/>
        <v>5800000</v>
      </c>
      <c r="AJ448" s="26">
        <f t="shared" si="796"/>
        <v>0</v>
      </c>
      <c r="AK448" s="26">
        <f t="shared" si="796"/>
        <v>0</v>
      </c>
      <c r="AL448" s="26">
        <f t="shared" si="796"/>
        <v>0</v>
      </c>
      <c r="AM448" s="26">
        <f t="shared" si="796"/>
        <v>0</v>
      </c>
      <c r="AN448" s="26">
        <f t="shared" si="796"/>
        <v>0</v>
      </c>
      <c r="AO448" s="67">
        <f t="shared" si="796"/>
        <v>7056000</v>
      </c>
      <c r="AP448" s="67">
        <f t="shared" si="796"/>
        <v>0</v>
      </c>
      <c r="AQ448" s="67">
        <f t="shared" si="796"/>
        <v>7056000</v>
      </c>
      <c r="AR448" s="26">
        <f t="shared" si="796"/>
        <v>-1643.52</v>
      </c>
      <c r="AS448" s="26">
        <f t="shared" si="796"/>
        <v>0</v>
      </c>
      <c r="AT448" s="26">
        <f t="shared" si="796"/>
        <v>0</v>
      </c>
      <c r="AU448" s="26">
        <f t="shared" si="796"/>
        <v>0</v>
      </c>
      <c r="AV448" s="26">
        <f t="shared" si="796"/>
        <v>0</v>
      </c>
      <c r="AW448" s="26">
        <f t="shared" si="796"/>
        <v>19642353.520000003</v>
      </c>
      <c r="AX448" s="26" t="s">
        <v>48</v>
      </c>
      <c r="AY448" s="4">
        <v>19642353.52</v>
      </c>
      <c r="AZ448" s="4">
        <f t="shared" si="665"/>
        <v>0</v>
      </c>
    </row>
    <row r="449" spans="1:52" s="5" customFormat="1" ht="30">
      <c r="A449" s="149" t="s">
        <v>130</v>
      </c>
      <c r="B449" s="133" t="s">
        <v>27</v>
      </c>
      <c r="C449" s="150">
        <v>66</v>
      </c>
      <c r="D449" s="7" t="s">
        <v>21</v>
      </c>
      <c r="E449" s="7">
        <v>42108801</v>
      </c>
      <c r="F449" s="8" t="s">
        <v>44</v>
      </c>
      <c r="G449" s="7" t="s">
        <v>98</v>
      </c>
      <c r="H449" s="9"/>
      <c r="I449" s="9"/>
      <c r="J449" s="9"/>
      <c r="K449" s="9"/>
      <c r="L449" s="9"/>
      <c r="M449" s="9"/>
      <c r="N449" s="9">
        <v>76500</v>
      </c>
      <c r="O449" s="9">
        <f>H449+N449</f>
        <v>76500</v>
      </c>
      <c r="P449" s="9">
        <v>1855000</v>
      </c>
      <c r="Q449" s="9"/>
      <c r="R449" s="9">
        <v>10955000</v>
      </c>
      <c r="S449" s="9"/>
      <c r="T449" s="9">
        <f>SUM(P449:S449)</f>
        <v>12810000</v>
      </c>
      <c r="U449" s="9">
        <v>3527346.96</v>
      </c>
      <c r="V449" s="9">
        <f t="shared" si="793"/>
        <v>3603846.96</v>
      </c>
      <c r="W449" s="9">
        <v>5616000</v>
      </c>
      <c r="X449" s="9">
        <v>3942000</v>
      </c>
      <c r="Y449" s="9"/>
      <c r="Z449" s="9"/>
      <c r="AA449" s="9"/>
      <c r="AB449" s="9"/>
      <c r="AC449" s="9"/>
      <c r="AD449" s="66">
        <f t="shared" si="693"/>
        <v>9558000</v>
      </c>
      <c r="AE449" s="9">
        <v>7721001.9100000001</v>
      </c>
      <c r="AF449" s="9">
        <f t="shared" si="794"/>
        <v>11324848.870000001</v>
      </c>
      <c r="AG449" s="9"/>
      <c r="AH449" s="9"/>
      <c r="AI449" s="9">
        <v>1578000</v>
      </c>
      <c r="AJ449" s="9"/>
      <c r="AK449" s="9"/>
      <c r="AL449" s="9"/>
      <c r="AM449" s="9"/>
      <c r="AN449" s="9"/>
      <c r="AO449" s="66">
        <f t="shared" si="689"/>
        <v>1578000</v>
      </c>
      <c r="AP449" s="66">
        <f t="shared" si="690"/>
        <v>0</v>
      </c>
      <c r="AQ449" s="66">
        <f t="shared" si="691"/>
        <v>1578000</v>
      </c>
      <c r="AR449" s="9"/>
      <c r="AS449" s="9"/>
      <c r="AT449" s="9"/>
      <c r="AU449" s="9"/>
      <c r="AV449" s="9"/>
      <c r="AW449" s="9">
        <f t="shared" si="692"/>
        <v>12902848.870000001</v>
      </c>
      <c r="AX449" s="9" t="s">
        <v>48</v>
      </c>
      <c r="AY449" s="5">
        <v>13161055.75</v>
      </c>
      <c r="AZ449" s="5">
        <f t="shared" si="665"/>
        <v>-258206.87999999896</v>
      </c>
    </row>
    <row r="450" spans="1:52" s="5" customFormat="1" ht="30">
      <c r="A450" s="149"/>
      <c r="B450" s="133"/>
      <c r="C450" s="150"/>
      <c r="D450" s="7" t="s">
        <v>21</v>
      </c>
      <c r="E450" s="7">
        <v>42108802</v>
      </c>
      <c r="F450" s="8" t="s">
        <v>45</v>
      </c>
      <c r="G450" s="7" t="s">
        <v>98</v>
      </c>
      <c r="H450" s="9"/>
      <c r="I450" s="9"/>
      <c r="J450" s="9"/>
      <c r="K450" s="9"/>
      <c r="L450" s="9"/>
      <c r="M450" s="9"/>
      <c r="N450" s="9"/>
      <c r="O450" s="9">
        <f t="shared" ref="O450:O451" si="797">H450+N450</f>
        <v>0</v>
      </c>
      <c r="P450" s="9"/>
      <c r="Q450" s="9"/>
      <c r="R450" s="9"/>
      <c r="S450" s="9"/>
      <c r="T450" s="9">
        <f t="shared" ref="T450:T451" si="798">SUM(P450:S450)</f>
        <v>0</v>
      </c>
      <c r="U450" s="9"/>
      <c r="V450" s="9">
        <f t="shared" si="793"/>
        <v>0</v>
      </c>
      <c r="W450" s="9"/>
      <c r="X450" s="9"/>
      <c r="Y450" s="9"/>
      <c r="Z450" s="9"/>
      <c r="AA450" s="9"/>
      <c r="AB450" s="9"/>
      <c r="AC450" s="9"/>
      <c r="AD450" s="66">
        <f t="shared" si="693"/>
        <v>0</v>
      </c>
      <c r="AE450" s="9"/>
      <c r="AF450" s="9">
        <f t="shared" si="794"/>
        <v>0</v>
      </c>
      <c r="AG450" s="9"/>
      <c r="AH450" s="9"/>
      <c r="AI450" s="9"/>
      <c r="AJ450" s="9"/>
      <c r="AK450" s="9"/>
      <c r="AL450" s="9"/>
      <c r="AM450" s="9"/>
      <c r="AN450" s="9"/>
      <c r="AO450" s="66">
        <f t="shared" si="689"/>
        <v>0</v>
      </c>
      <c r="AP450" s="66">
        <f t="shared" si="690"/>
        <v>0</v>
      </c>
      <c r="AQ450" s="66">
        <f t="shared" si="691"/>
        <v>0</v>
      </c>
      <c r="AR450" s="9"/>
      <c r="AS450" s="9"/>
      <c r="AT450" s="9"/>
      <c r="AU450" s="9"/>
      <c r="AV450" s="9"/>
      <c r="AW450" s="9">
        <f t="shared" si="692"/>
        <v>0</v>
      </c>
      <c r="AX450" s="9" t="s">
        <v>48</v>
      </c>
      <c r="AY450" s="5">
        <v>0</v>
      </c>
      <c r="AZ450" s="5">
        <f t="shared" si="665"/>
        <v>0</v>
      </c>
    </row>
    <row r="451" spans="1:52" s="5" customFormat="1">
      <c r="A451" s="149"/>
      <c r="B451" s="133"/>
      <c r="C451" s="150"/>
      <c r="D451" s="7" t="s">
        <v>21</v>
      </c>
      <c r="E451" s="7">
        <v>42108803</v>
      </c>
      <c r="F451" s="8" t="s">
        <v>46</v>
      </c>
      <c r="G451" s="7" t="s">
        <v>98</v>
      </c>
      <c r="H451" s="9"/>
      <c r="I451" s="9"/>
      <c r="J451" s="9"/>
      <c r="K451" s="9"/>
      <c r="L451" s="9"/>
      <c r="M451" s="9"/>
      <c r="N451" s="9">
        <v>14535</v>
      </c>
      <c r="O451" s="9">
        <f t="shared" si="797"/>
        <v>14535</v>
      </c>
      <c r="P451" s="9">
        <v>145000</v>
      </c>
      <c r="Q451" s="9"/>
      <c r="R451" s="9">
        <v>2100000</v>
      </c>
      <c r="S451" s="9"/>
      <c r="T451" s="9">
        <f t="shared" si="798"/>
        <v>2245000</v>
      </c>
      <c r="U451" s="9">
        <v>475680.24</v>
      </c>
      <c r="V451" s="9">
        <f t="shared" si="793"/>
        <v>490215.24</v>
      </c>
      <c r="W451" s="9">
        <v>1068000</v>
      </c>
      <c r="X451" s="9">
        <v>943000</v>
      </c>
      <c r="Y451" s="9"/>
      <c r="Z451" s="9"/>
      <c r="AA451" s="9"/>
      <c r="AB451" s="9"/>
      <c r="AC451" s="9"/>
      <c r="AD451" s="66">
        <f t="shared" si="693"/>
        <v>2011000</v>
      </c>
      <c r="AE451" s="9">
        <v>1466990.36</v>
      </c>
      <c r="AF451" s="9">
        <f t="shared" si="794"/>
        <v>1957205.6</v>
      </c>
      <c r="AG451" s="9"/>
      <c r="AH451" s="9"/>
      <c r="AI451" s="9">
        <v>332000</v>
      </c>
      <c r="AJ451" s="9"/>
      <c r="AK451" s="9"/>
      <c r="AL451" s="9"/>
      <c r="AM451" s="9"/>
      <c r="AN451" s="9"/>
      <c r="AO451" s="66">
        <f t="shared" si="689"/>
        <v>332000</v>
      </c>
      <c r="AP451" s="66">
        <f t="shared" si="690"/>
        <v>0</v>
      </c>
      <c r="AQ451" s="66">
        <f t="shared" si="691"/>
        <v>332000</v>
      </c>
      <c r="AR451" s="9"/>
      <c r="AS451" s="9"/>
      <c r="AT451" s="9"/>
      <c r="AU451" s="9"/>
      <c r="AV451" s="9"/>
      <c r="AW451" s="9">
        <f t="shared" si="692"/>
        <v>2289205.6</v>
      </c>
      <c r="AX451" s="9" t="s">
        <v>48</v>
      </c>
      <c r="AY451" s="5">
        <v>2500600.59</v>
      </c>
      <c r="AZ451" s="5">
        <f t="shared" si="665"/>
        <v>-211394.98999999976</v>
      </c>
    </row>
    <row r="452" spans="1:52" s="5" customFormat="1">
      <c r="A452" s="149"/>
      <c r="B452" s="133"/>
      <c r="C452" s="150"/>
      <c r="D452" s="7" t="s">
        <v>21</v>
      </c>
      <c r="E452" s="7"/>
      <c r="F452" s="7" t="s">
        <v>97</v>
      </c>
      <c r="G452" s="7" t="s">
        <v>98</v>
      </c>
      <c r="H452" s="9">
        <f>H457-H449-H450-H451</f>
        <v>0</v>
      </c>
      <c r="I452" s="9"/>
      <c r="J452" s="9"/>
      <c r="K452" s="9"/>
      <c r="L452" s="9"/>
      <c r="M452" s="9"/>
      <c r="N452" s="9">
        <f t="shared" ref="N452:S452" si="799">N457-N449-N450-N451</f>
        <v>0</v>
      </c>
      <c r="O452" s="9">
        <f t="shared" si="799"/>
        <v>0</v>
      </c>
      <c r="P452" s="9">
        <f t="shared" si="799"/>
        <v>0</v>
      </c>
      <c r="Q452" s="9">
        <f t="shared" si="799"/>
        <v>0</v>
      </c>
      <c r="R452" s="9">
        <f t="shared" si="799"/>
        <v>0</v>
      </c>
      <c r="S452" s="9">
        <f t="shared" si="799"/>
        <v>0</v>
      </c>
      <c r="T452" s="9">
        <f>T457-T449-T450-T451</f>
        <v>0</v>
      </c>
      <c r="U452" s="9">
        <f t="shared" ref="U452:V452" si="800">U457-U449-U450-U451</f>
        <v>0</v>
      </c>
      <c r="V452" s="9">
        <f t="shared" si="800"/>
        <v>0</v>
      </c>
      <c r="W452" s="9">
        <f t="shared" ref="W452:AD452" si="801">W457-W449-W450-W451</f>
        <v>0</v>
      </c>
      <c r="X452" s="9">
        <f t="shared" si="801"/>
        <v>0</v>
      </c>
      <c r="Y452" s="9">
        <f t="shared" si="801"/>
        <v>0</v>
      </c>
      <c r="Z452" s="9">
        <f t="shared" si="801"/>
        <v>0</v>
      </c>
      <c r="AA452" s="9"/>
      <c r="AB452" s="9"/>
      <c r="AC452" s="9"/>
      <c r="AD452" s="66">
        <f t="shared" si="801"/>
        <v>0</v>
      </c>
      <c r="AE452" s="9">
        <f t="shared" ref="AE452" si="802">AE457-AE449-AE450-AE451</f>
        <v>0</v>
      </c>
      <c r="AF452" s="9">
        <f t="shared" ref="AF452:AW452" si="803">AF457-AF449-AF450-AF451</f>
        <v>0</v>
      </c>
      <c r="AG452" s="9">
        <f t="shared" si="803"/>
        <v>0</v>
      </c>
      <c r="AH452" s="9">
        <f t="shared" si="803"/>
        <v>0</v>
      </c>
      <c r="AI452" s="9">
        <f t="shared" si="803"/>
        <v>0</v>
      </c>
      <c r="AJ452" s="9">
        <f t="shared" si="803"/>
        <v>0</v>
      </c>
      <c r="AK452" s="9">
        <f t="shared" si="803"/>
        <v>0</v>
      </c>
      <c r="AL452" s="9">
        <f t="shared" si="803"/>
        <v>0</v>
      </c>
      <c r="AM452" s="9">
        <f t="shared" si="803"/>
        <v>0</v>
      </c>
      <c r="AN452" s="9">
        <f t="shared" si="803"/>
        <v>0</v>
      </c>
      <c r="AO452" s="66">
        <f t="shared" si="803"/>
        <v>0</v>
      </c>
      <c r="AP452" s="66">
        <f t="shared" si="803"/>
        <v>0</v>
      </c>
      <c r="AQ452" s="66">
        <f t="shared" si="803"/>
        <v>0</v>
      </c>
      <c r="AR452" s="9">
        <f t="shared" si="803"/>
        <v>0</v>
      </c>
      <c r="AS452" s="9">
        <f t="shared" si="803"/>
        <v>0</v>
      </c>
      <c r="AT452" s="9">
        <f t="shared" si="803"/>
        <v>0</v>
      </c>
      <c r="AU452" s="9">
        <f t="shared" si="803"/>
        <v>0</v>
      </c>
      <c r="AV452" s="9">
        <f t="shared" si="803"/>
        <v>0</v>
      </c>
      <c r="AW452" s="9">
        <f t="shared" si="803"/>
        <v>0</v>
      </c>
      <c r="AX452" s="9" t="s">
        <v>48</v>
      </c>
      <c r="AY452" s="5">
        <v>0</v>
      </c>
      <c r="AZ452" s="5">
        <f t="shared" si="665"/>
        <v>0</v>
      </c>
    </row>
    <row r="453" spans="1:52" s="5" customFormat="1">
      <c r="A453" s="149"/>
      <c r="B453" s="133"/>
      <c r="C453" s="150"/>
      <c r="D453" s="7" t="s">
        <v>21</v>
      </c>
      <c r="E453" s="7"/>
      <c r="F453" s="7" t="s">
        <v>47</v>
      </c>
      <c r="G453" s="7" t="s">
        <v>98</v>
      </c>
      <c r="H453" s="9">
        <f>SUM(H449:H452)</f>
        <v>0</v>
      </c>
      <c r="I453" s="9"/>
      <c r="J453" s="9"/>
      <c r="K453" s="9"/>
      <c r="L453" s="9"/>
      <c r="M453" s="9"/>
      <c r="N453" s="9">
        <f t="shared" ref="N453:S453" si="804">SUM(N449:N452)</f>
        <v>91035</v>
      </c>
      <c r="O453" s="9">
        <f t="shared" si="804"/>
        <v>91035</v>
      </c>
      <c r="P453" s="9">
        <f t="shared" si="804"/>
        <v>2000000</v>
      </c>
      <c r="Q453" s="9">
        <f t="shared" si="804"/>
        <v>0</v>
      </c>
      <c r="R453" s="9">
        <f t="shared" si="804"/>
        <v>13055000</v>
      </c>
      <c r="S453" s="9">
        <f t="shared" si="804"/>
        <v>0</v>
      </c>
      <c r="T453" s="9">
        <f>SUM(T449:T452)</f>
        <v>15055000</v>
      </c>
      <c r="U453" s="9">
        <f t="shared" ref="U453:V453" si="805">SUM(U449:U452)</f>
        <v>4003027.2</v>
      </c>
      <c r="V453" s="9">
        <f t="shared" si="805"/>
        <v>4094062.2</v>
      </c>
      <c r="W453" s="9">
        <f t="shared" ref="W453:AD453" si="806">SUM(W449:W452)</f>
        <v>6684000</v>
      </c>
      <c r="X453" s="9">
        <f t="shared" si="806"/>
        <v>4885000</v>
      </c>
      <c r="Y453" s="9">
        <f t="shared" si="806"/>
        <v>0</v>
      </c>
      <c r="Z453" s="9">
        <f t="shared" si="806"/>
        <v>0</v>
      </c>
      <c r="AA453" s="9"/>
      <c r="AB453" s="9"/>
      <c r="AC453" s="9"/>
      <c r="AD453" s="66">
        <f t="shared" si="806"/>
        <v>11569000</v>
      </c>
      <c r="AE453" s="9">
        <f t="shared" ref="AE453" si="807">SUM(AE449:AE452)</f>
        <v>9187992.2699999996</v>
      </c>
      <c r="AF453" s="9">
        <f t="shared" ref="AF453:AW453" si="808">SUM(AF449:AF452)</f>
        <v>13282054.470000001</v>
      </c>
      <c r="AG453" s="9">
        <f t="shared" si="808"/>
        <v>0</v>
      </c>
      <c r="AH453" s="9">
        <f t="shared" si="808"/>
        <v>0</v>
      </c>
      <c r="AI453" s="9">
        <f t="shared" si="808"/>
        <v>1910000</v>
      </c>
      <c r="AJ453" s="9">
        <f t="shared" si="808"/>
        <v>0</v>
      </c>
      <c r="AK453" s="9">
        <f t="shared" si="808"/>
        <v>0</v>
      </c>
      <c r="AL453" s="9">
        <f t="shared" si="808"/>
        <v>0</v>
      </c>
      <c r="AM453" s="9">
        <f t="shared" si="808"/>
        <v>0</v>
      </c>
      <c r="AN453" s="9">
        <f t="shared" si="808"/>
        <v>0</v>
      </c>
      <c r="AO453" s="66">
        <f t="shared" si="808"/>
        <v>1910000</v>
      </c>
      <c r="AP453" s="66">
        <f t="shared" si="808"/>
        <v>0</v>
      </c>
      <c r="AQ453" s="66">
        <f t="shared" si="808"/>
        <v>1910000</v>
      </c>
      <c r="AR453" s="9">
        <f t="shared" si="808"/>
        <v>0</v>
      </c>
      <c r="AS453" s="9">
        <f t="shared" si="808"/>
        <v>0</v>
      </c>
      <c r="AT453" s="9">
        <f t="shared" si="808"/>
        <v>0</v>
      </c>
      <c r="AU453" s="9">
        <f t="shared" si="808"/>
        <v>0</v>
      </c>
      <c r="AV453" s="9">
        <f t="shared" si="808"/>
        <v>0</v>
      </c>
      <c r="AW453" s="9">
        <f t="shared" si="808"/>
        <v>15192054.470000001</v>
      </c>
      <c r="AX453" s="9" t="s">
        <v>48</v>
      </c>
      <c r="AY453" s="5">
        <v>15661656.34</v>
      </c>
      <c r="AZ453" s="5">
        <f t="shared" si="665"/>
        <v>-469601.86999999918</v>
      </c>
    </row>
    <row r="454" spans="1:52" s="4" customFormat="1" ht="30">
      <c r="A454" s="149"/>
      <c r="B454" s="133"/>
      <c r="C454" s="150"/>
      <c r="D454" s="25" t="s">
        <v>22</v>
      </c>
      <c r="E454" s="25">
        <v>6001</v>
      </c>
      <c r="F454" s="37" t="s">
        <v>44</v>
      </c>
      <c r="G454" s="25" t="s">
        <v>98</v>
      </c>
      <c r="H454" s="26"/>
      <c r="I454" s="26"/>
      <c r="J454" s="26"/>
      <c r="K454" s="26"/>
      <c r="L454" s="26"/>
      <c r="M454" s="26"/>
      <c r="N454" s="26">
        <v>76500</v>
      </c>
      <c r="O454" s="26">
        <f t="shared" ref="O454:O456" si="809">H454+N454</f>
        <v>76500</v>
      </c>
      <c r="P454" s="26">
        <v>1855000</v>
      </c>
      <c r="Q454" s="26"/>
      <c r="R454" s="26">
        <v>10955000</v>
      </c>
      <c r="S454" s="26"/>
      <c r="T454" s="26">
        <f t="shared" ref="T454:T456" si="810">SUM(P454:S454)</f>
        <v>12810000</v>
      </c>
      <c r="U454" s="26">
        <v>3527346.96</v>
      </c>
      <c r="V454" s="26">
        <f t="shared" ref="V454:V461" si="811">O454+U454</f>
        <v>3603846.96</v>
      </c>
      <c r="W454" s="26">
        <v>5616000</v>
      </c>
      <c r="X454" s="26">
        <v>3942000</v>
      </c>
      <c r="Y454" s="26"/>
      <c r="Z454" s="26"/>
      <c r="AA454" s="26"/>
      <c r="AB454" s="26"/>
      <c r="AC454" s="26"/>
      <c r="AD454" s="67">
        <f t="shared" si="693"/>
        <v>9558000</v>
      </c>
      <c r="AE454" s="26">
        <v>7721001.9100000001</v>
      </c>
      <c r="AF454" s="26">
        <f t="shared" ref="AF454:AF460" si="812">V454+AE454</f>
        <v>11324848.870000001</v>
      </c>
      <c r="AG454" s="26"/>
      <c r="AH454" s="26"/>
      <c r="AI454" s="26">
        <v>1578000</v>
      </c>
      <c r="AJ454" s="26"/>
      <c r="AK454" s="26"/>
      <c r="AL454" s="26"/>
      <c r="AM454" s="26"/>
      <c r="AN454" s="26"/>
      <c r="AO454" s="67">
        <f t="shared" si="689"/>
        <v>1578000</v>
      </c>
      <c r="AP454" s="67">
        <f t="shared" si="690"/>
        <v>0</v>
      </c>
      <c r="AQ454" s="67">
        <f t="shared" si="691"/>
        <v>1578000</v>
      </c>
      <c r="AR454" s="26"/>
      <c r="AS454" s="26"/>
      <c r="AT454" s="26"/>
      <c r="AU454" s="26"/>
      <c r="AV454" s="26"/>
      <c r="AW454" s="26">
        <f t="shared" si="692"/>
        <v>12902848.870000001</v>
      </c>
      <c r="AX454" s="26" t="s">
        <v>48</v>
      </c>
      <c r="AY454" s="4">
        <v>13161055.75</v>
      </c>
      <c r="AZ454" s="4">
        <f t="shared" si="665"/>
        <v>-258206.87999999896</v>
      </c>
    </row>
    <row r="455" spans="1:52" s="4" customFormat="1" ht="30">
      <c r="A455" s="149"/>
      <c r="B455" s="133"/>
      <c r="C455" s="150"/>
      <c r="D455" s="25" t="s">
        <v>22</v>
      </c>
      <c r="E455" s="25">
        <v>6002</v>
      </c>
      <c r="F455" s="37" t="s">
        <v>45</v>
      </c>
      <c r="G455" s="25" t="s">
        <v>98</v>
      </c>
      <c r="H455" s="26"/>
      <c r="I455" s="26"/>
      <c r="J455" s="26"/>
      <c r="K455" s="26"/>
      <c r="L455" s="26"/>
      <c r="M455" s="26"/>
      <c r="N455" s="26"/>
      <c r="O455" s="26">
        <f t="shared" si="809"/>
        <v>0</v>
      </c>
      <c r="P455" s="26"/>
      <c r="Q455" s="26"/>
      <c r="R455" s="26"/>
      <c r="S455" s="26"/>
      <c r="T455" s="26">
        <f t="shared" si="810"/>
        <v>0</v>
      </c>
      <c r="U455" s="26"/>
      <c r="V455" s="26">
        <f t="shared" si="811"/>
        <v>0</v>
      </c>
      <c r="W455" s="26"/>
      <c r="X455" s="26"/>
      <c r="Y455" s="26"/>
      <c r="Z455" s="26"/>
      <c r="AA455" s="26"/>
      <c r="AB455" s="26"/>
      <c r="AC455" s="26"/>
      <c r="AD455" s="67">
        <f t="shared" si="693"/>
        <v>0</v>
      </c>
      <c r="AE455" s="26"/>
      <c r="AF455" s="26">
        <f t="shared" si="812"/>
        <v>0</v>
      </c>
      <c r="AG455" s="26"/>
      <c r="AH455" s="26"/>
      <c r="AI455" s="26"/>
      <c r="AJ455" s="26"/>
      <c r="AK455" s="26"/>
      <c r="AL455" s="26"/>
      <c r="AM455" s="26"/>
      <c r="AN455" s="26"/>
      <c r="AO455" s="67">
        <f t="shared" si="689"/>
        <v>0</v>
      </c>
      <c r="AP455" s="67">
        <f t="shared" si="690"/>
        <v>0</v>
      </c>
      <c r="AQ455" s="67">
        <f t="shared" si="691"/>
        <v>0</v>
      </c>
      <c r="AR455" s="26"/>
      <c r="AS455" s="26"/>
      <c r="AT455" s="26"/>
      <c r="AU455" s="26"/>
      <c r="AV455" s="26"/>
      <c r="AW455" s="26">
        <f t="shared" si="692"/>
        <v>0</v>
      </c>
      <c r="AX455" s="26" t="s">
        <v>48</v>
      </c>
      <c r="AY455" s="4">
        <v>0</v>
      </c>
      <c r="AZ455" s="4">
        <f t="shared" si="665"/>
        <v>0</v>
      </c>
    </row>
    <row r="456" spans="1:52" s="4" customFormat="1">
      <c r="A456" s="149"/>
      <c r="B456" s="133"/>
      <c r="C456" s="150"/>
      <c r="D456" s="25" t="s">
        <v>22</v>
      </c>
      <c r="E456" s="25">
        <v>6003</v>
      </c>
      <c r="F456" s="37" t="s">
        <v>46</v>
      </c>
      <c r="G456" s="25" t="s">
        <v>98</v>
      </c>
      <c r="H456" s="26"/>
      <c r="I456" s="26"/>
      <c r="J456" s="26"/>
      <c r="K456" s="26"/>
      <c r="L456" s="26"/>
      <c r="M456" s="26"/>
      <c r="N456" s="26">
        <v>14535</v>
      </c>
      <c r="O456" s="26">
        <f t="shared" si="809"/>
        <v>14535</v>
      </c>
      <c r="P456" s="26">
        <v>145000</v>
      </c>
      <c r="Q456" s="26"/>
      <c r="R456" s="26">
        <v>2100000</v>
      </c>
      <c r="S456" s="26"/>
      <c r="T456" s="26">
        <f t="shared" si="810"/>
        <v>2245000</v>
      </c>
      <c r="U456" s="26">
        <v>475680.24</v>
      </c>
      <c r="V456" s="26">
        <f t="shared" si="811"/>
        <v>490215.24</v>
      </c>
      <c r="W456" s="26">
        <v>1068000</v>
      </c>
      <c r="X456" s="26">
        <v>943000</v>
      </c>
      <c r="Y456" s="26"/>
      <c r="Z456" s="26"/>
      <c r="AA456" s="26"/>
      <c r="AB456" s="26"/>
      <c r="AC456" s="26"/>
      <c r="AD456" s="67">
        <f t="shared" si="693"/>
        <v>2011000</v>
      </c>
      <c r="AE456" s="26">
        <v>1466990.36</v>
      </c>
      <c r="AF456" s="26">
        <f t="shared" si="812"/>
        <v>1957205.6</v>
      </c>
      <c r="AG456" s="26"/>
      <c r="AH456" s="26"/>
      <c r="AI456" s="26">
        <v>332000</v>
      </c>
      <c r="AJ456" s="26"/>
      <c r="AK456" s="26"/>
      <c r="AL456" s="26"/>
      <c r="AM456" s="26"/>
      <c r="AN456" s="26"/>
      <c r="AO456" s="67">
        <f t="shared" si="689"/>
        <v>332000</v>
      </c>
      <c r="AP456" s="67">
        <f t="shared" si="690"/>
        <v>0</v>
      </c>
      <c r="AQ456" s="67">
        <f t="shared" si="691"/>
        <v>332000</v>
      </c>
      <c r="AR456" s="26"/>
      <c r="AS456" s="26"/>
      <c r="AT456" s="26"/>
      <c r="AU456" s="26"/>
      <c r="AV456" s="26"/>
      <c r="AW456" s="26">
        <f t="shared" si="692"/>
        <v>2289205.6</v>
      </c>
      <c r="AX456" s="26" t="s">
        <v>48</v>
      </c>
      <c r="AY456" s="4">
        <v>2500600.59</v>
      </c>
      <c r="AZ456" s="4">
        <f t="shared" si="665"/>
        <v>-211394.98999999976</v>
      </c>
    </row>
    <row r="457" spans="1:52" s="4" customFormat="1">
      <c r="A457" s="149"/>
      <c r="B457" s="133"/>
      <c r="C457" s="150"/>
      <c r="D457" s="25" t="s">
        <v>22</v>
      </c>
      <c r="E457" s="25"/>
      <c r="F457" s="25" t="s">
        <v>29</v>
      </c>
      <c r="G457" s="25" t="s">
        <v>98</v>
      </c>
      <c r="H457" s="26">
        <f>SUM(H454:H456)</f>
        <v>0</v>
      </c>
      <c r="I457" s="26"/>
      <c r="J457" s="26"/>
      <c r="K457" s="26"/>
      <c r="L457" s="26"/>
      <c r="M457" s="26"/>
      <c r="N457" s="26">
        <f t="shared" ref="N457:AW457" si="813">SUM(N454:N456)</f>
        <v>91035</v>
      </c>
      <c r="O457" s="26">
        <f t="shared" si="813"/>
        <v>91035</v>
      </c>
      <c r="P457" s="26">
        <f t="shared" si="813"/>
        <v>2000000</v>
      </c>
      <c r="Q457" s="26">
        <f t="shared" si="813"/>
        <v>0</v>
      </c>
      <c r="R457" s="26">
        <f t="shared" si="813"/>
        <v>13055000</v>
      </c>
      <c r="S457" s="26">
        <f t="shared" si="813"/>
        <v>0</v>
      </c>
      <c r="T457" s="26">
        <f t="shared" si="813"/>
        <v>15055000</v>
      </c>
      <c r="U457" s="26">
        <f t="shared" si="813"/>
        <v>4003027.2</v>
      </c>
      <c r="V457" s="26">
        <f t="shared" si="813"/>
        <v>4094062.2</v>
      </c>
      <c r="W457" s="26">
        <f t="shared" si="813"/>
        <v>6684000</v>
      </c>
      <c r="X457" s="26">
        <f t="shared" si="813"/>
        <v>4885000</v>
      </c>
      <c r="Y457" s="26">
        <f t="shared" si="813"/>
        <v>0</v>
      </c>
      <c r="Z457" s="26">
        <f t="shared" si="813"/>
        <v>0</v>
      </c>
      <c r="AA457" s="26"/>
      <c r="AB457" s="26"/>
      <c r="AC457" s="26"/>
      <c r="AD457" s="67">
        <f t="shared" si="813"/>
        <v>11569000</v>
      </c>
      <c r="AE457" s="26">
        <f t="shared" si="813"/>
        <v>9187992.2699999996</v>
      </c>
      <c r="AF457" s="26">
        <f t="shared" si="813"/>
        <v>13282054.470000001</v>
      </c>
      <c r="AG457" s="26">
        <f t="shared" si="813"/>
        <v>0</v>
      </c>
      <c r="AH457" s="26">
        <f t="shared" si="813"/>
        <v>0</v>
      </c>
      <c r="AI457" s="26">
        <f t="shared" si="813"/>
        <v>1910000</v>
      </c>
      <c r="AJ457" s="26">
        <f t="shared" si="813"/>
        <v>0</v>
      </c>
      <c r="AK457" s="26">
        <f t="shared" si="813"/>
        <v>0</v>
      </c>
      <c r="AL457" s="26">
        <f t="shared" si="813"/>
        <v>0</v>
      </c>
      <c r="AM457" s="26">
        <f t="shared" si="813"/>
        <v>0</v>
      </c>
      <c r="AN457" s="26">
        <f t="shared" si="813"/>
        <v>0</v>
      </c>
      <c r="AO457" s="67">
        <f t="shared" si="813"/>
        <v>1910000</v>
      </c>
      <c r="AP457" s="67">
        <f t="shared" si="813"/>
        <v>0</v>
      </c>
      <c r="AQ457" s="67">
        <f t="shared" si="813"/>
        <v>1910000</v>
      </c>
      <c r="AR457" s="26">
        <f t="shared" si="813"/>
        <v>0</v>
      </c>
      <c r="AS457" s="26">
        <f t="shared" si="813"/>
        <v>0</v>
      </c>
      <c r="AT457" s="26">
        <f t="shared" si="813"/>
        <v>0</v>
      </c>
      <c r="AU457" s="26">
        <f t="shared" si="813"/>
        <v>0</v>
      </c>
      <c r="AV457" s="26">
        <f t="shared" si="813"/>
        <v>0</v>
      </c>
      <c r="AW457" s="26">
        <f t="shared" si="813"/>
        <v>15192054.470000001</v>
      </c>
      <c r="AX457" s="26" t="s">
        <v>48</v>
      </c>
      <c r="AY457" s="4">
        <v>15661656.34</v>
      </c>
      <c r="AZ457" s="4">
        <f t="shared" si="665"/>
        <v>-469601.86999999918</v>
      </c>
    </row>
    <row r="458" spans="1:52" s="5" customFormat="1" ht="30">
      <c r="A458" s="149" t="s">
        <v>336</v>
      </c>
      <c r="B458" s="133" t="s">
        <v>26</v>
      </c>
      <c r="C458" s="150">
        <v>66</v>
      </c>
      <c r="D458" s="7" t="s">
        <v>21</v>
      </c>
      <c r="E458" s="7">
        <v>42028801</v>
      </c>
      <c r="F458" s="8" t="s">
        <v>44</v>
      </c>
      <c r="G458" s="8" t="s">
        <v>132</v>
      </c>
      <c r="H458" s="9"/>
      <c r="I458" s="9"/>
      <c r="J458" s="9"/>
      <c r="K458" s="9"/>
      <c r="L458" s="9"/>
      <c r="M458" s="9">
        <f t="shared" ref="M458:M460" si="814">SUM(I458:L458)</f>
        <v>0</v>
      </c>
      <c r="N458" s="9"/>
      <c r="O458" s="9">
        <f>H458+N458</f>
        <v>0</v>
      </c>
      <c r="P458" s="9">
        <f>29680199.84+800.16</f>
        <v>29681000</v>
      </c>
      <c r="Q458" s="9"/>
      <c r="R458" s="9"/>
      <c r="S458" s="9"/>
      <c r="T458" s="9">
        <f>SUM(P458:S458)</f>
        <v>29681000</v>
      </c>
      <c r="U458" s="9">
        <v>0</v>
      </c>
      <c r="V458" s="9">
        <f t="shared" si="811"/>
        <v>0</v>
      </c>
      <c r="W458" s="9">
        <v>16713000</v>
      </c>
      <c r="X458" s="9">
        <v>12968000</v>
      </c>
      <c r="Y458" s="9"/>
      <c r="Z458" s="9"/>
      <c r="AA458" s="9"/>
      <c r="AB458" s="9"/>
      <c r="AC458" s="9"/>
      <c r="AD458" s="66">
        <f t="shared" si="693"/>
        <v>29681000</v>
      </c>
      <c r="AE458" s="9">
        <v>13430343.35</v>
      </c>
      <c r="AF458" s="9">
        <f t="shared" si="812"/>
        <v>13430343.35</v>
      </c>
      <c r="AG458" s="9">
        <v>16250000</v>
      </c>
      <c r="AH458" s="9"/>
      <c r="AI458" s="9"/>
      <c r="AJ458" s="9"/>
      <c r="AK458" s="9"/>
      <c r="AL458" s="9"/>
      <c r="AM458" s="9"/>
      <c r="AN458" s="9"/>
      <c r="AO458" s="66">
        <f t="shared" si="689"/>
        <v>16250000</v>
      </c>
      <c r="AP458" s="66">
        <f t="shared" si="690"/>
        <v>0</v>
      </c>
      <c r="AQ458" s="66">
        <f t="shared" si="691"/>
        <v>16250000</v>
      </c>
      <c r="AR458" s="9">
        <v>-143.51</v>
      </c>
      <c r="AS458" s="9"/>
      <c r="AT458" s="9"/>
      <c r="AU458" s="9"/>
      <c r="AV458" s="9"/>
      <c r="AW458" s="9">
        <f t="shared" si="692"/>
        <v>29680199.84</v>
      </c>
      <c r="AX458" s="9" t="s">
        <v>48</v>
      </c>
      <c r="AY458" s="5">
        <v>29680199.84</v>
      </c>
      <c r="AZ458" s="5">
        <f t="shared" ref="AZ458:AZ508" si="815">AW458-AY458</f>
        <v>0</v>
      </c>
    </row>
    <row r="459" spans="1:52" s="5" customFormat="1" ht="30">
      <c r="A459" s="149"/>
      <c r="B459" s="133"/>
      <c r="C459" s="150"/>
      <c r="D459" s="7" t="s">
        <v>21</v>
      </c>
      <c r="E459" s="7">
        <v>42028802</v>
      </c>
      <c r="F459" s="8" t="s">
        <v>45</v>
      </c>
      <c r="G459" s="8" t="s">
        <v>132</v>
      </c>
      <c r="H459" s="9"/>
      <c r="I459" s="9"/>
      <c r="J459" s="9"/>
      <c r="K459" s="9"/>
      <c r="L459" s="9"/>
      <c r="M459" s="9">
        <f t="shared" si="814"/>
        <v>0</v>
      </c>
      <c r="N459" s="9"/>
      <c r="O459" s="9">
        <f t="shared" ref="O459:O460" si="816">H459+N459</f>
        <v>0</v>
      </c>
      <c r="P459" s="9"/>
      <c r="Q459" s="9"/>
      <c r="R459" s="9"/>
      <c r="S459" s="9"/>
      <c r="T459" s="9">
        <f t="shared" ref="T459:T467" si="817">SUM(P459:S459)</f>
        <v>0</v>
      </c>
      <c r="U459" s="9">
        <v>0</v>
      </c>
      <c r="V459" s="9">
        <f t="shared" si="811"/>
        <v>0</v>
      </c>
      <c r="W459" s="9"/>
      <c r="X459" s="9"/>
      <c r="Y459" s="9"/>
      <c r="Z459" s="9"/>
      <c r="AA459" s="9"/>
      <c r="AB459" s="9"/>
      <c r="AC459" s="9"/>
      <c r="AD459" s="66">
        <f t="shared" si="693"/>
        <v>0</v>
      </c>
      <c r="AE459" s="9"/>
      <c r="AF459" s="9">
        <f t="shared" si="812"/>
        <v>0</v>
      </c>
      <c r="AG459" s="9"/>
      <c r="AH459" s="9"/>
      <c r="AI459" s="9"/>
      <c r="AJ459" s="9"/>
      <c r="AK459" s="9"/>
      <c r="AL459" s="9"/>
      <c r="AM459" s="9"/>
      <c r="AN459" s="9"/>
      <c r="AO459" s="66">
        <f t="shared" si="689"/>
        <v>0</v>
      </c>
      <c r="AP459" s="66">
        <f t="shared" si="690"/>
        <v>0</v>
      </c>
      <c r="AQ459" s="66">
        <f t="shared" si="691"/>
        <v>0</v>
      </c>
      <c r="AR459" s="9"/>
      <c r="AS459" s="9"/>
      <c r="AT459" s="9"/>
      <c r="AU459" s="9"/>
      <c r="AV459" s="9"/>
      <c r="AW459" s="9">
        <f t="shared" si="692"/>
        <v>0</v>
      </c>
      <c r="AX459" s="9" t="s">
        <v>48</v>
      </c>
      <c r="AY459" s="5">
        <v>0</v>
      </c>
      <c r="AZ459" s="5">
        <f t="shared" si="815"/>
        <v>0</v>
      </c>
    </row>
    <row r="460" spans="1:52" s="5" customFormat="1" ht="30">
      <c r="A460" s="149"/>
      <c r="B460" s="133"/>
      <c r="C460" s="150"/>
      <c r="D460" s="7" t="s">
        <v>21</v>
      </c>
      <c r="E460" s="7">
        <v>42028803</v>
      </c>
      <c r="F460" s="8" t="s">
        <v>46</v>
      </c>
      <c r="G460" s="8" t="s">
        <v>132</v>
      </c>
      <c r="H460" s="9"/>
      <c r="I460" s="9"/>
      <c r="J460" s="9"/>
      <c r="K460" s="9"/>
      <c r="L460" s="9"/>
      <c r="M460" s="9">
        <f t="shared" si="814"/>
        <v>0</v>
      </c>
      <c r="N460" s="9"/>
      <c r="O460" s="9">
        <f t="shared" si="816"/>
        <v>0</v>
      </c>
      <c r="P460" s="9">
        <f>5639237.97+762.03</f>
        <v>5640000</v>
      </c>
      <c r="Q460" s="9"/>
      <c r="R460" s="9"/>
      <c r="S460" s="9"/>
      <c r="T460" s="9">
        <f t="shared" si="817"/>
        <v>5640000</v>
      </c>
      <c r="U460" s="9">
        <v>0</v>
      </c>
      <c r="V460" s="9">
        <f t="shared" si="811"/>
        <v>0</v>
      </c>
      <c r="W460" s="9">
        <v>3176000</v>
      </c>
      <c r="X460" s="9">
        <v>2464000</v>
      </c>
      <c r="Y460" s="9"/>
      <c r="Z460" s="9"/>
      <c r="AA460" s="9"/>
      <c r="AB460" s="9"/>
      <c r="AC460" s="9"/>
      <c r="AD460" s="66">
        <f t="shared" si="693"/>
        <v>5640000</v>
      </c>
      <c r="AE460" s="9">
        <v>2538313.9900000002</v>
      </c>
      <c r="AF460" s="9">
        <f t="shared" si="812"/>
        <v>2538313.9900000002</v>
      </c>
      <c r="AG460" s="9">
        <v>3101000</v>
      </c>
      <c r="AH460" s="9"/>
      <c r="AI460" s="9"/>
      <c r="AJ460" s="9"/>
      <c r="AK460" s="9"/>
      <c r="AL460" s="9"/>
      <c r="AM460" s="9"/>
      <c r="AN460" s="9"/>
      <c r="AO460" s="66">
        <f t="shared" si="689"/>
        <v>3101000</v>
      </c>
      <c r="AP460" s="66">
        <f t="shared" si="690"/>
        <v>0</v>
      </c>
      <c r="AQ460" s="66">
        <f t="shared" si="691"/>
        <v>3101000</v>
      </c>
      <c r="AR460" s="9">
        <v>-76.02</v>
      </c>
      <c r="AS460" s="9"/>
      <c r="AT460" s="9"/>
      <c r="AU460" s="9"/>
      <c r="AV460" s="9"/>
      <c r="AW460" s="9">
        <f t="shared" si="692"/>
        <v>5639237.9700000007</v>
      </c>
      <c r="AX460" s="9" t="s">
        <v>48</v>
      </c>
      <c r="AY460" s="5">
        <v>5639237.9699999997</v>
      </c>
      <c r="AZ460" s="5">
        <f t="shared" si="815"/>
        <v>0</v>
      </c>
    </row>
    <row r="461" spans="1:52" s="5" customFormat="1" ht="30">
      <c r="A461" s="149"/>
      <c r="B461" s="133"/>
      <c r="C461" s="150"/>
      <c r="D461" s="7" t="s">
        <v>21</v>
      </c>
      <c r="E461" s="7"/>
      <c r="F461" s="7" t="s">
        <v>19</v>
      </c>
      <c r="G461" s="8" t="s">
        <v>132</v>
      </c>
      <c r="H461" s="9">
        <f t="shared" ref="H461:N461" si="818">H295</f>
        <v>0</v>
      </c>
      <c r="I461" s="9">
        <f t="shared" si="818"/>
        <v>100000</v>
      </c>
      <c r="J461" s="9">
        <f t="shared" si="818"/>
        <v>0</v>
      </c>
      <c r="K461" s="9">
        <f t="shared" si="818"/>
        <v>0</v>
      </c>
      <c r="L461" s="9">
        <f t="shared" si="818"/>
        <v>0</v>
      </c>
      <c r="M461" s="9">
        <f t="shared" si="818"/>
        <v>100000</v>
      </c>
      <c r="N461" s="9">
        <f t="shared" si="818"/>
        <v>0</v>
      </c>
      <c r="O461" s="9">
        <f t="shared" ref="O461" si="819">O467-O458-O459-O460</f>
        <v>0</v>
      </c>
      <c r="P461" s="9">
        <f>P295</f>
        <v>1349000</v>
      </c>
      <c r="Q461" s="9">
        <f t="shared" ref="Q461:U461" si="820">Q295</f>
        <v>0</v>
      </c>
      <c r="R461" s="9">
        <f t="shared" si="820"/>
        <v>0</v>
      </c>
      <c r="S461" s="9">
        <f t="shared" si="820"/>
        <v>0</v>
      </c>
      <c r="T461" s="9">
        <f t="shared" si="817"/>
        <v>1349000</v>
      </c>
      <c r="U461" s="9">
        <f t="shared" si="820"/>
        <v>0</v>
      </c>
      <c r="V461" s="9">
        <f t="shared" si="811"/>
        <v>0</v>
      </c>
      <c r="W461" s="9">
        <f>W298</f>
        <v>760000</v>
      </c>
      <c r="X461" s="9">
        <f>X298</f>
        <v>589000</v>
      </c>
      <c r="Y461" s="9">
        <f>Y298</f>
        <v>0</v>
      </c>
      <c r="Z461" s="9">
        <f>Z298</f>
        <v>0</v>
      </c>
      <c r="AA461" s="9"/>
      <c r="AB461" s="9"/>
      <c r="AC461" s="9"/>
      <c r="AD461" s="66">
        <f t="shared" si="693"/>
        <v>1349000</v>
      </c>
      <c r="AE461" s="9">
        <f t="shared" ref="AE461:AN461" si="821">AE298</f>
        <v>609910.31000000006</v>
      </c>
      <c r="AF461" s="9">
        <f t="shared" si="821"/>
        <v>609910.31000000006</v>
      </c>
      <c r="AG461" s="9">
        <f t="shared" si="821"/>
        <v>740000</v>
      </c>
      <c r="AH461" s="9">
        <f t="shared" si="821"/>
        <v>0</v>
      </c>
      <c r="AI461" s="9">
        <f t="shared" si="821"/>
        <v>0</v>
      </c>
      <c r="AJ461" s="9">
        <f t="shared" si="821"/>
        <v>0</v>
      </c>
      <c r="AK461" s="9">
        <f t="shared" si="821"/>
        <v>0</v>
      </c>
      <c r="AL461" s="9">
        <f t="shared" si="821"/>
        <v>0</v>
      </c>
      <c r="AM461" s="9">
        <f t="shared" si="821"/>
        <v>0</v>
      </c>
      <c r="AN461" s="9">
        <f t="shared" si="821"/>
        <v>0</v>
      </c>
      <c r="AO461" s="66">
        <f t="shared" si="689"/>
        <v>740000</v>
      </c>
      <c r="AP461" s="66">
        <f t="shared" si="690"/>
        <v>0</v>
      </c>
      <c r="AQ461" s="66">
        <f t="shared" si="691"/>
        <v>740000</v>
      </c>
      <c r="AR461" s="9">
        <f t="shared" ref="AR461:AV461" si="822">AR298</f>
        <v>-912.14</v>
      </c>
      <c r="AS461" s="9">
        <f t="shared" si="822"/>
        <v>0</v>
      </c>
      <c r="AT461" s="9">
        <f t="shared" si="822"/>
        <v>0</v>
      </c>
      <c r="AU461" s="9">
        <f t="shared" si="822"/>
        <v>0</v>
      </c>
      <c r="AV461" s="9">
        <f t="shared" si="822"/>
        <v>0</v>
      </c>
      <c r="AW461" s="9">
        <f t="shared" si="692"/>
        <v>1348998.1700000002</v>
      </c>
      <c r="AX461" s="9" t="s">
        <v>48</v>
      </c>
      <c r="AY461" s="5">
        <v>1348998.17</v>
      </c>
      <c r="AZ461" s="5">
        <f t="shared" si="815"/>
        <v>0</v>
      </c>
    </row>
    <row r="462" spans="1:52" s="5" customFormat="1" ht="30">
      <c r="A462" s="149"/>
      <c r="B462" s="133"/>
      <c r="C462" s="150"/>
      <c r="D462" s="7"/>
      <c r="E462" s="7"/>
      <c r="F462" s="7" t="s">
        <v>209</v>
      </c>
      <c r="G462" s="8" t="s">
        <v>132</v>
      </c>
      <c r="H462" s="9">
        <f t="shared" ref="H462:O462" si="823">H463-H458-H459-H460-H461</f>
        <v>0</v>
      </c>
      <c r="I462" s="9">
        <f t="shared" si="823"/>
        <v>0</v>
      </c>
      <c r="J462" s="9">
        <f t="shared" si="823"/>
        <v>0</v>
      </c>
      <c r="K462" s="9">
        <f t="shared" si="823"/>
        <v>0</v>
      </c>
      <c r="L462" s="9">
        <f t="shared" si="823"/>
        <v>0</v>
      </c>
      <c r="M462" s="9">
        <f t="shared" si="823"/>
        <v>0</v>
      </c>
      <c r="N462" s="9">
        <f t="shared" si="823"/>
        <v>0</v>
      </c>
      <c r="O462" s="9">
        <f t="shared" si="823"/>
        <v>0</v>
      </c>
      <c r="P462" s="9">
        <f>P463-P458-P459-P460-P461</f>
        <v>0</v>
      </c>
      <c r="Q462" s="9">
        <f t="shared" ref="Q462:R462" si="824">Q463-Q458-Q459-Q460-Q461</f>
        <v>0</v>
      </c>
      <c r="R462" s="9">
        <f t="shared" si="824"/>
        <v>0</v>
      </c>
      <c r="S462" s="9">
        <f>S463-S458-S459-S460-S461</f>
        <v>0</v>
      </c>
      <c r="T462" s="9">
        <f>SUM(P462:S462)</f>
        <v>0</v>
      </c>
      <c r="U462" s="9">
        <f t="shared" ref="U462:V462" si="825">U463-U458-U459-U460-U461</f>
        <v>0</v>
      </c>
      <c r="V462" s="9">
        <f t="shared" si="825"/>
        <v>0</v>
      </c>
      <c r="W462" s="9">
        <f t="shared" ref="W462:AD462" si="826">W463-W458-W459-W460-W461</f>
        <v>0</v>
      </c>
      <c r="X462" s="9">
        <f t="shared" si="826"/>
        <v>0</v>
      </c>
      <c r="Y462" s="9">
        <f t="shared" si="826"/>
        <v>0</v>
      </c>
      <c r="Z462" s="9">
        <f t="shared" si="826"/>
        <v>0</v>
      </c>
      <c r="AA462" s="9"/>
      <c r="AB462" s="9"/>
      <c r="AC462" s="9"/>
      <c r="AD462" s="66">
        <f t="shared" si="826"/>
        <v>0</v>
      </c>
      <c r="AE462" s="9">
        <f t="shared" ref="AE462" si="827">AE463-AE458-AE459-AE460-AE461</f>
        <v>0</v>
      </c>
      <c r="AF462" s="9">
        <f t="shared" ref="AF462:AW462" si="828">AF463-AF458-AF459-AF460-AF461</f>
        <v>0</v>
      </c>
      <c r="AG462" s="9">
        <f t="shared" si="828"/>
        <v>0</v>
      </c>
      <c r="AH462" s="9">
        <f t="shared" si="828"/>
        <v>0</v>
      </c>
      <c r="AI462" s="9">
        <f t="shared" si="828"/>
        <v>0</v>
      </c>
      <c r="AJ462" s="9">
        <f t="shared" si="828"/>
        <v>0</v>
      </c>
      <c r="AK462" s="9">
        <f t="shared" si="828"/>
        <v>0</v>
      </c>
      <c r="AL462" s="9">
        <f t="shared" si="828"/>
        <v>0</v>
      </c>
      <c r="AM462" s="9">
        <f t="shared" si="828"/>
        <v>0</v>
      </c>
      <c r="AN462" s="9">
        <f t="shared" si="828"/>
        <v>0</v>
      </c>
      <c r="AO462" s="66">
        <f t="shared" si="828"/>
        <v>0</v>
      </c>
      <c r="AP462" s="66">
        <f t="shared" si="828"/>
        <v>0</v>
      </c>
      <c r="AQ462" s="66">
        <f t="shared" si="828"/>
        <v>0</v>
      </c>
      <c r="AR462" s="9">
        <f t="shared" si="828"/>
        <v>0</v>
      </c>
      <c r="AS462" s="9">
        <f t="shared" si="828"/>
        <v>0</v>
      </c>
      <c r="AT462" s="9">
        <f t="shared" si="828"/>
        <v>0</v>
      </c>
      <c r="AU462" s="9">
        <f t="shared" si="828"/>
        <v>0</v>
      </c>
      <c r="AV462" s="9">
        <f t="shared" si="828"/>
        <v>0</v>
      </c>
      <c r="AW462" s="9">
        <f t="shared" si="828"/>
        <v>3.4924596548080444E-9</v>
      </c>
      <c r="AX462" s="9" t="s">
        <v>48</v>
      </c>
    </row>
    <row r="463" spans="1:52" s="5" customFormat="1" ht="30">
      <c r="A463" s="149"/>
      <c r="B463" s="133"/>
      <c r="C463" s="150"/>
      <c r="D463" s="7" t="s">
        <v>21</v>
      </c>
      <c r="E463" s="7"/>
      <c r="F463" s="7" t="s">
        <v>47</v>
      </c>
      <c r="G463" s="8" t="s">
        <v>132</v>
      </c>
      <c r="H463" s="9">
        <f t="shared" ref="H463:M463" si="829">SUM(H458:H461)</f>
        <v>0</v>
      </c>
      <c r="I463" s="9">
        <f t="shared" si="829"/>
        <v>100000</v>
      </c>
      <c r="J463" s="9">
        <f t="shared" si="829"/>
        <v>0</v>
      </c>
      <c r="K463" s="9">
        <f t="shared" si="829"/>
        <v>0</v>
      </c>
      <c r="L463" s="9">
        <f t="shared" si="829"/>
        <v>0</v>
      </c>
      <c r="M463" s="9">
        <f t="shared" si="829"/>
        <v>100000</v>
      </c>
      <c r="N463" s="9">
        <f t="shared" ref="N463:R463" si="830">SUM(N458:N461)</f>
        <v>0</v>
      </c>
      <c r="O463" s="9">
        <f t="shared" si="830"/>
        <v>0</v>
      </c>
      <c r="P463" s="9">
        <f t="shared" si="830"/>
        <v>36670000</v>
      </c>
      <c r="Q463" s="9">
        <f t="shared" si="830"/>
        <v>0</v>
      </c>
      <c r="R463" s="9">
        <f t="shared" si="830"/>
        <v>0</v>
      </c>
      <c r="S463" s="9">
        <f>SUM(S458:S461)</f>
        <v>0</v>
      </c>
      <c r="T463" s="9">
        <f t="shared" si="817"/>
        <v>36670000</v>
      </c>
      <c r="U463" s="9">
        <f t="shared" ref="U463:V463" si="831">SUM(U458:U461)</f>
        <v>0</v>
      </c>
      <c r="V463" s="9">
        <f t="shared" si="831"/>
        <v>0</v>
      </c>
      <c r="W463" s="9">
        <f t="shared" ref="W463:AD463" si="832">SUM(W458:W461)</f>
        <v>20649000</v>
      </c>
      <c r="X463" s="9">
        <f t="shared" si="832"/>
        <v>16021000</v>
      </c>
      <c r="Y463" s="9">
        <f t="shared" si="832"/>
        <v>0</v>
      </c>
      <c r="Z463" s="9">
        <f t="shared" si="832"/>
        <v>0</v>
      </c>
      <c r="AA463" s="9"/>
      <c r="AB463" s="9"/>
      <c r="AC463" s="9"/>
      <c r="AD463" s="66">
        <f t="shared" si="832"/>
        <v>36670000</v>
      </c>
      <c r="AE463" s="9">
        <f t="shared" ref="AE463" si="833">SUM(AE458:AE461)</f>
        <v>16578567.65</v>
      </c>
      <c r="AF463" s="9">
        <f t="shared" ref="AF463:AW463" si="834">SUM(AF458:AF461)</f>
        <v>16578567.65</v>
      </c>
      <c r="AG463" s="9">
        <f t="shared" si="834"/>
        <v>20091000</v>
      </c>
      <c r="AH463" s="9">
        <f t="shared" si="834"/>
        <v>0</v>
      </c>
      <c r="AI463" s="9">
        <f t="shared" si="834"/>
        <v>0</v>
      </c>
      <c r="AJ463" s="9">
        <f t="shared" si="834"/>
        <v>0</v>
      </c>
      <c r="AK463" s="9">
        <f t="shared" si="834"/>
        <v>0</v>
      </c>
      <c r="AL463" s="9">
        <f t="shared" si="834"/>
        <v>0</v>
      </c>
      <c r="AM463" s="9">
        <f t="shared" si="834"/>
        <v>0</v>
      </c>
      <c r="AN463" s="9">
        <f t="shared" si="834"/>
        <v>0</v>
      </c>
      <c r="AO463" s="66">
        <f t="shared" si="834"/>
        <v>20091000</v>
      </c>
      <c r="AP463" s="66">
        <f t="shared" si="834"/>
        <v>0</v>
      </c>
      <c r="AQ463" s="66">
        <f t="shared" si="834"/>
        <v>20091000</v>
      </c>
      <c r="AR463" s="9">
        <f t="shared" si="834"/>
        <v>-1131.67</v>
      </c>
      <c r="AS463" s="9">
        <f t="shared" si="834"/>
        <v>0</v>
      </c>
      <c r="AT463" s="9">
        <f t="shared" si="834"/>
        <v>0</v>
      </c>
      <c r="AU463" s="9">
        <f t="shared" si="834"/>
        <v>0</v>
      </c>
      <c r="AV463" s="9">
        <f t="shared" si="834"/>
        <v>0</v>
      </c>
      <c r="AW463" s="9">
        <f t="shared" si="834"/>
        <v>36668435.980000004</v>
      </c>
      <c r="AX463" s="9" t="s">
        <v>48</v>
      </c>
      <c r="AY463" s="5">
        <v>36668435.980000004</v>
      </c>
      <c r="AZ463" s="5">
        <f t="shared" si="815"/>
        <v>0</v>
      </c>
    </row>
    <row r="464" spans="1:52" s="4" customFormat="1" ht="30">
      <c r="A464" s="149"/>
      <c r="B464" s="133"/>
      <c r="C464" s="150"/>
      <c r="D464" s="25" t="s">
        <v>22</v>
      </c>
      <c r="E464" s="25">
        <v>6001</v>
      </c>
      <c r="F464" s="37" t="s">
        <v>44</v>
      </c>
      <c r="G464" s="37" t="s">
        <v>132</v>
      </c>
      <c r="H464" s="26"/>
      <c r="I464" s="26"/>
      <c r="J464" s="26"/>
      <c r="K464" s="26"/>
      <c r="L464" s="26"/>
      <c r="M464" s="26">
        <f t="shared" ref="M464:M466" si="835">SUM(I464:L464)</f>
        <v>0</v>
      </c>
      <c r="N464" s="26"/>
      <c r="O464" s="26">
        <f t="shared" ref="O464:O466" si="836">H464+N464</f>
        <v>0</v>
      </c>
      <c r="P464" s="26">
        <f>29680199.84+800.16</f>
        <v>29681000</v>
      </c>
      <c r="Q464" s="26"/>
      <c r="R464" s="26"/>
      <c r="S464" s="26"/>
      <c r="T464" s="26">
        <f t="shared" si="817"/>
        <v>29681000</v>
      </c>
      <c r="U464" s="26">
        <v>0</v>
      </c>
      <c r="V464" s="26">
        <f t="shared" ref="V464:V471" si="837">O464+U464</f>
        <v>0</v>
      </c>
      <c r="W464" s="26">
        <f>16712450.51+549.490000000223</f>
        <v>16713000</v>
      </c>
      <c r="X464" s="26">
        <f>12967749.33-549.490000000223+800.160000000149</f>
        <v>12968000</v>
      </c>
      <c r="Y464" s="26"/>
      <c r="Z464" s="26"/>
      <c r="AA464" s="26"/>
      <c r="AB464" s="26"/>
      <c r="AC464" s="26"/>
      <c r="AD464" s="67">
        <f t="shared" si="693"/>
        <v>29681000</v>
      </c>
      <c r="AE464" s="26">
        <f>13430343.35</f>
        <v>13430343.35</v>
      </c>
      <c r="AF464" s="26">
        <f t="shared" ref="AF464:AF470" si="838">V464+AE464</f>
        <v>13430343.35</v>
      </c>
      <c r="AG464" s="26">
        <f>16249856.49+143.51</f>
        <v>16250000</v>
      </c>
      <c r="AH464" s="26"/>
      <c r="AI464" s="26"/>
      <c r="AJ464" s="26"/>
      <c r="AK464" s="26"/>
      <c r="AL464" s="26"/>
      <c r="AM464" s="26"/>
      <c r="AN464" s="26"/>
      <c r="AO464" s="67">
        <f t="shared" si="689"/>
        <v>16250000</v>
      </c>
      <c r="AP464" s="67">
        <f t="shared" si="690"/>
        <v>0</v>
      </c>
      <c r="AQ464" s="67">
        <f t="shared" si="691"/>
        <v>16250000</v>
      </c>
      <c r="AR464" s="26">
        <v>-143.51</v>
      </c>
      <c r="AS464" s="26"/>
      <c r="AT464" s="26"/>
      <c r="AU464" s="26"/>
      <c r="AV464" s="26"/>
      <c r="AW464" s="26">
        <f t="shared" si="692"/>
        <v>29680199.84</v>
      </c>
      <c r="AX464" s="26" t="s">
        <v>48</v>
      </c>
      <c r="AY464" s="4">
        <v>29680199.84</v>
      </c>
      <c r="AZ464" s="4">
        <f t="shared" si="815"/>
        <v>0</v>
      </c>
    </row>
    <row r="465" spans="1:52" s="4" customFormat="1" ht="30">
      <c r="A465" s="149"/>
      <c r="B465" s="133"/>
      <c r="C465" s="150"/>
      <c r="D465" s="25" t="s">
        <v>22</v>
      </c>
      <c r="E465" s="25">
        <v>6002</v>
      </c>
      <c r="F465" s="37" t="s">
        <v>45</v>
      </c>
      <c r="G465" s="37" t="s">
        <v>132</v>
      </c>
      <c r="H465" s="26">
        <f t="shared" ref="H465:N465" si="839">H298</f>
        <v>0</v>
      </c>
      <c r="I465" s="26">
        <f t="shared" si="839"/>
        <v>100000</v>
      </c>
      <c r="J465" s="26">
        <f t="shared" si="839"/>
        <v>0</v>
      </c>
      <c r="K465" s="26">
        <f t="shared" si="839"/>
        <v>0</v>
      </c>
      <c r="L465" s="26">
        <f t="shared" si="839"/>
        <v>0</v>
      </c>
      <c r="M465" s="26">
        <f t="shared" si="839"/>
        <v>100000</v>
      </c>
      <c r="N465" s="26">
        <f t="shared" si="839"/>
        <v>0</v>
      </c>
      <c r="O465" s="26">
        <f t="shared" si="836"/>
        <v>0</v>
      </c>
      <c r="P465" s="26">
        <f>P298</f>
        <v>1349000</v>
      </c>
      <c r="Q465" s="26">
        <f t="shared" ref="Q465:S465" si="840">Q298</f>
        <v>0</v>
      </c>
      <c r="R465" s="26">
        <f t="shared" si="840"/>
        <v>0</v>
      </c>
      <c r="S465" s="26">
        <f t="shared" si="840"/>
        <v>0</v>
      </c>
      <c r="T465" s="26">
        <f t="shared" si="817"/>
        <v>1349000</v>
      </c>
      <c r="U465" s="26">
        <v>0</v>
      </c>
      <c r="V465" s="26">
        <f t="shared" si="837"/>
        <v>0</v>
      </c>
      <c r="W465" s="26">
        <f>759599.51+400.48999999999</f>
        <v>760000</v>
      </c>
      <c r="X465" s="26">
        <f>589398.66-400.48999999999+1.82999999995809</f>
        <v>589000</v>
      </c>
      <c r="Y465" s="26"/>
      <c r="Z465" s="26"/>
      <c r="AA465" s="26"/>
      <c r="AB465" s="26"/>
      <c r="AC465" s="26"/>
      <c r="AD465" s="67">
        <f t="shared" si="693"/>
        <v>1349000</v>
      </c>
      <c r="AE465" s="26">
        <f>613373.21-3462.8999999999</f>
        <v>609910.31000000006</v>
      </c>
      <c r="AF465" s="26">
        <f t="shared" si="838"/>
        <v>609910.31000000006</v>
      </c>
      <c r="AG465" s="26">
        <v>740000</v>
      </c>
      <c r="AH465" s="26"/>
      <c r="AI465" s="26"/>
      <c r="AJ465" s="26"/>
      <c r="AK465" s="26"/>
      <c r="AL465" s="26"/>
      <c r="AM465" s="26"/>
      <c r="AN465" s="26"/>
      <c r="AO465" s="67">
        <f t="shared" si="689"/>
        <v>740000</v>
      </c>
      <c r="AP465" s="67">
        <f t="shared" si="690"/>
        <v>0</v>
      </c>
      <c r="AQ465" s="67">
        <f t="shared" si="691"/>
        <v>740000</v>
      </c>
      <c r="AR465" s="26">
        <v>-912.14</v>
      </c>
      <c r="AS465" s="26"/>
      <c r="AT465" s="26"/>
      <c r="AU465" s="26"/>
      <c r="AV465" s="26"/>
      <c r="AW465" s="26">
        <f t="shared" si="692"/>
        <v>1348998.1700000002</v>
      </c>
      <c r="AX465" s="26" t="s">
        <v>48</v>
      </c>
      <c r="AY465" s="4">
        <v>1348998.17</v>
      </c>
      <c r="AZ465" s="4">
        <f t="shared" si="815"/>
        <v>0</v>
      </c>
    </row>
    <row r="466" spans="1:52" s="4" customFormat="1" ht="30">
      <c r="A466" s="149"/>
      <c r="B466" s="133"/>
      <c r="C466" s="150"/>
      <c r="D466" s="25" t="s">
        <v>22</v>
      </c>
      <c r="E466" s="25">
        <v>6003</v>
      </c>
      <c r="F466" s="37" t="s">
        <v>46</v>
      </c>
      <c r="G466" s="37" t="s">
        <v>132</v>
      </c>
      <c r="H466" s="26"/>
      <c r="I466" s="26"/>
      <c r="J466" s="26"/>
      <c r="K466" s="26"/>
      <c r="L466" s="26"/>
      <c r="M466" s="26">
        <f t="shared" si="835"/>
        <v>0</v>
      </c>
      <c r="N466" s="26"/>
      <c r="O466" s="26">
        <f t="shared" si="836"/>
        <v>0</v>
      </c>
      <c r="P466" s="26">
        <f>5639237.97+762.03</f>
        <v>5640000</v>
      </c>
      <c r="Q466" s="26"/>
      <c r="R466" s="26"/>
      <c r="S466" s="26"/>
      <c r="T466" s="26">
        <f t="shared" si="817"/>
        <v>5640000</v>
      </c>
      <c r="U466" s="26">
        <v>0</v>
      </c>
      <c r="V466" s="26">
        <f t="shared" si="837"/>
        <v>0</v>
      </c>
      <c r="W466" s="26">
        <f>3175365.6+634.4</f>
        <v>3176000</v>
      </c>
      <c r="X466" s="26">
        <f>2463872.37+127.629999999888</f>
        <v>2464000</v>
      </c>
      <c r="Y466" s="26"/>
      <c r="Z466" s="26"/>
      <c r="AA466" s="26"/>
      <c r="AB466" s="26"/>
      <c r="AC466" s="26"/>
      <c r="AD466" s="67">
        <f t="shared" si="693"/>
        <v>5640000</v>
      </c>
      <c r="AE466" s="26">
        <v>2538313.9900000002</v>
      </c>
      <c r="AF466" s="26">
        <f t="shared" si="838"/>
        <v>2538313.9900000002</v>
      </c>
      <c r="AG466" s="26">
        <f>3100923.98+76.02</f>
        <v>3101000</v>
      </c>
      <c r="AH466" s="26"/>
      <c r="AI466" s="26"/>
      <c r="AJ466" s="26"/>
      <c r="AK466" s="26"/>
      <c r="AL466" s="26"/>
      <c r="AM466" s="26"/>
      <c r="AN466" s="26"/>
      <c r="AO466" s="67">
        <f t="shared" ref="AO466:AO504" si="841">AG466+AI466+AK466+AM466</f>
        <v>3101000</v>
      </c>
      <c r="AP466" s="67">
        <f t="shared" ref="AP466:AP504" si="842">AH466+AJ466+AL466+AN466</f>
        <v>0</v>
      </c>
      <c r="AQ466" s="67">
        <f t="shared" ref="AQ466:AQ504" si="843">AO466+AP466</f>
        <v>3101000</v>
      </c>
      <c r="AR466" s="26">
        <v>-76.02</v>
      </c>
      <c r="AS466" s="26"/>
      <c r="AT466" s="26"/>
      <c r="AU466" s="26"/>
      <c r="AV466" s="26"/>
      <c r="AW466" s="26">
        <f t="shared" ref="AW466:AW511" si="844">AF466+AQ466+AR466+AS466+AT466+AU466+AV466</f>
        <v>5639237.9700000007</v>
      </c>
      <c r="AX466" s="26" t="s">
        <v>48</v>
      </c>
      <c r="AY466" s="4">
        <v>5639237.9699999997</v>
      </c>
      <c r="AZ466" s="4">
        <f t="shared" si="815"/>
        <v>0</v>
      </c>
    </row>
    <row r="467" spans="1:52" s="4" customFormat="1" ht="30">
      <c r="A467" s="149"/>
      <c r="B467" s="133"/>
      <c r="C467" s="150"/>
      <c r="D467" s="25" t="s">
        <v>22</v>
      </c>
      <c r="E467" s="25"/>
      <c r="F467" s="25" t="s">
        <v>29</v>
      </c>
      <c r="G467" s="37" t="s">
        <v>132</v>
      </c>
      <c r="H467" s="26">
        <f>SUM(H464:H466)</f>
        <v>0</v>
      </c>
      <c r="I467" s="26">
        <f t="shared" ref="I467:AW467" si="845">SUM(I464:I466)</f>
        <v>100000</v>
      </c>
      <c r="J467" s="26">
        <f t="shared" si="845"/>
        <v>0</v>
      </c>
      <c r="K467" s="26">
        <f t="shared" si="845"/>
        <v>0</v>
      </c>
      <c r="L467" s="26">
        <f t="shared" si="845"/>
        <v>0</v>
      </c>
      <c r="M467" s="26">
        <f t="shared" si="845"/>
        <v>100000</v>
      </c>
      <c r="N467" s="26">
        <f t="shared" si="845"/>
        <v>0</v>
      </c>
      <c r="O467" s="26">
        <f t="shared" si="845"/>
        <v>0</v>
      </c>
      <c r="P467" s="26">
        <f t="shared" si="845"/>
        <v>36670000</v>
      </c>
      <c r="Q467" s="26">
        <f t="shared" si="845"/>
        <v>0</v>
      </c>
      <c r="R467" s="26">
        <f t="shared" si="845"/>
        <v>0</v>
      </c>
      <c r="S467" s="26">
        <f t="shared" si="845"/>
        <v>0</v>
      </c>
      <c r="T467" s="26">
        <f t="shared" si="817"/>
        <v>36670000</v>
      </c>
      <c r="U467" s="26">
        <f t="shared" si="845"/>
        <v>0</v>
      </c>
      <c r="V467" s="26">
        <f t="shared" si="845"/>
        <v>0</v>
      </c>
      <c r="W467" s="26">
        <f t="shared" si="845"/>
        <v>20649000</v>
      </c>
      <c r="X467" s="26">
        <f t="shared" si="845"/>
        <v>16021000</v>
      </c>
      <c r="Y467" s="26">
        <f t="shared" si="845"/>
        <v>0</v>
      </c>
      <c r="Z467" s="26">
        <f t="shared" si="845"/>
        <v>0</v>
      </c>
      <c r="AA467" s="26"/>
      <c r="AB467" s="26"/>
      <c r="AC467" s="26"/>
      <c r="AD467" s="67">
        <f t="shared" si="845"/>
        <v>36670000</v>
      </c>
      <c r="AE467" s="26">
        <f t="shared" si="845"/>
        <v>16578567.65</v>
      </c>
      <c r="AF467" s="26">
        <f t="shared" si="845"/>
        <v>16578567.65</v>
      </c>
      <c r="AG467" s="26">
        <f t="shared" si="845"/>
        <v>20091000</v>
      </c>
      <c r="AH467" s="26">
        <f t="shared" si="845"/>
        <v>0</v>
      </c>
      <c r="AI467" s="26">
        <f t="shared" si="845"/>
        <v>0</v>
      </c>
      <c r="AJ467" s="26">
        <f t="shared" si="845"/>
        <v>0</v>
      </c>
      <c r="AK467" s="26">
        <f t="shared" si="845"/>
        <v>0</v>
      </c>
      <c r="AL467" s="26">
        <f t="shared" si="845"/>
        <v>0</v>
      </c>
      <c r="AM467" s="26">
        <f t="shared" si="845"/>
        <v>0</v>
      </c>
      <c r="AN467" s="26">
        <f t="shared" si="845"/>
        <v>0</v>
      </c>
      <c r="AO467" s="67">
        <f t="shared" si="845"/>
        <v>20091000</v>
      </c>
      <c r="AP467" s="67">
        <f t="shared" si="845"/>
        <v>0</v>
      </c>
      <c r="AQ467" s="67">
        <f t="shared" si="845"/>
        <v>20091000</v>
      </c>
      <c r="AR467" s="26">
        <f t="shared" si="845"/>
        <v>-1131.67</v>
      </c>
      <c r="AS467" s="26">
        <f t="shared" si="845"/>
        <v>0</v>
      </c>
      <c r="AT467" s="26">
        <f t="shared" si="845"/>
        <v>0</v>
      </c>
      <c r="AU467" s="26">
        <f t="shared" si="845"/>
        <v>0</v>
      </c>
      <c r="AV467" s="26">
        <f t="shared" si="845"/>
        <v>0</v>
      </c>
      <c r="AW467" s="26">
        <f t="shared" si="845"/>
        <v>36668435.980000004</v>
      </c>
      <c r="AX467" s="26" t="s">
        <v>48</v>
      </c>
      <c r="AY467" s="4">
        <v>36668435.979999997</v>
      </c>
      <c r="AZ467" s="4">
        <f t="shared" si="815"/>
        <v>0</v>
      </c>
    </row>
    <row r="468" spans="1:52" s="5" customFormat="1" ht="30">
      <c r="A468" s="149" t="s">
        <v>337</v>
      </c>
      <c r="B468" s="133" t="s">
        <v>26</v>
      </c>
      <c r="C468" s="150">
        <v>66</v>
      </c>
      <c r="D468" s="7" t="s">
        <v>21</v>
      </c>
      <c r="E468" s="7">
        <v>42028801</v>
      </c>
      <c r="F468" s="8" t="s">
        <v>44</v>
      </c>
      <c r="G468" s="8" t="s">
        <v>122</v>
      </c>
      <c r="H468" s="9"/>
      <c r="I468" s="9"/>
      <c r="J468" s="9"/>
      <c r="K468" s="9"/>
      <c r="L468" s="9"/>
      <c r="M468" s="9">
        <f t="shared" ref="M468:M470" si="846">SUM(I468:L468)</f>
        <v>0</v>
      </c>
      <c r="N468" s="9"/>
      <c r="O468" s="9">
        <f>H468+N468</f>
        <v>0</v>
      </c>
      <c r="P468" s="9">
        <v>223000</v>
      </c>
      <c r="Q468" s="9"/>
      <c r="R468" s="9"/>
      <c r="S468" s="9"/>
      <c r="T468" s="9">
        <f>SUM(P468:S468)</f>
        <v>223000</v>
      </c>
      <c r="U468" s="9"/>
      <c r="V468" s="9">
        <f t="shared" si="837"/>
        <v>0</v>
      </c>
      <c r="W468" s="9">
        <v>173000</v>
      </c>
      <c r="X468" s="9">
        <v>50000</v>
      </c>
      <c r="Y468" s="9"/>
      <c r="Z468" s="9"/>
      <c r="AA468" s="9"/>
      <c r="AB468" s="9"/>
      <c r="AC468" s="9"/>
      <c r="AD468" s="66">
        <f t="shared" si="693"/>
        <v>223000</v>
      </c>
      <c r="AE468" s="9">
        <v>102504.96000000001</v>
      </c>
      <c r="AF468" s="9">
        <f t="shared" si="838"/>
        <v>102504.96000000001</v>
      </c>
      <c r="AG468" s="9">
        <v>120000</v>
      </c>
      <c r="AH468" s="9"/>
      <c r="AI468" s="9"/>
      <c r="AJ468" s="9"/>
      <c r="AK468" s="9"/>
      <c r="AL468" s="9"/>
      <c r="AM468" s="9"/>
      <c r="AN468" s="9"/>
      <c r="AO468" s="66">
        <f t="shared" si="841"/>
        <v>120000</v>
      </c>
      <c r="AP468" s="66">
        <f t="shared" si="842"/>
        <v>0</v>
      </c>
      <c r="AQ468" s="66">
        <f t="shared" si="843"/>
        <v>120000</v>
      </c>
      <c r="AR468" s="9">
        <v>-465.96</v>
      </c>
      <c r="AS468" s="9"/>
      <c r="AT468" s="9"/>
      <c r="AU468" s="9"/>
      <c r="AV468" s="9"/>
      <c r="AW468" s="9">
        <f t="shared" si="844"/>
        <v>222039.00000000003</v>
      </c>
      <c r="AX468" s="9" t="s">
        <v>48</v>
      </c>
      <c r="AY468" s="5">
        <v>222038.99999999997</v>
      </c>
      <c r="AZ468" s="5">
        <f t="shared" si="815"/>
        <v>0</v>
      </c>
    </row>
    <row r="469" spans="1:52" s="5" customFormat="1" ht="30">
      <c r="A469" s="149"/>
      <c r="B469" s="133"/>
      <c r="C469" s="150"/>
      <c r="D469" s="7" t="s">
        <v>21</v>
      </c>
      <c r="E469" s="7">
        <v>42028802</v>
      </c>
      <c r="F469" s="8" t="s">
        <v>45</v>
      </c>
      <c r="G469" s="8" t="s">
        <v>122</v>
      </c>
      <c r="H469" s="9"/>
      <c r="I469" s="9"/>
      <c r="J469" s="9"/>
      <c r="K469" s="9"/>
      <c r="L469" s="9"/>
      <c r="M469" s="9">
        <f t="shared" si="846"/>
        <v>0</v>
      </c>
      <c r="N469" s="9"/>
      <c r="O469" s="9">
        <f t="shared" ref="O469:O470" si="847">H469+N469</f>
        <v>0</v>
      </c>
      <c r="P469" s="9"/>
      <c r="Q469" s="9"/>
      <c r="R469" s="9"/>
      <c r="S469" s="9"/>
      <c r="T469" s="9">
        <f t="shared" ref="T469:T477" si="848">SUM(P469:S469)</f>
        <v>0</v>
      </c>
      <c r="U469" s="9"/>
      <c r="V469" s="9">
        <f t="shared" si="837"/>
        <v>0</v>
      </c>
      <c r="W469" s="9"/>
      <c r="X469" s="9"/>
      <c r="Y469" s="9"/>
      <c r="Z469" s="9"/>
      <c r="AA469" s="9"/>
      <c r="AB469" s="9"/>
      <c r="AC469" s="9"/>
      <c r="AD469" s="66">
        <f t="shared" si="693"/>
        <v>0</v>
      </c>
      <c r="AE469" s="9"/>
      <c r="AF469" s="9">
        <f t="shared" si="838"/>
        <v>0</v>
      </c>
      <c r="AG469" s="9"/>
      <c r="AH469" s="9"/>
      <c r="AI469" s="9"/>
      <c r="AJ469" s="9"/>
      <c r="AK469" s="9"/>
      <c r="AL469" s="9"/>
      <c r="AM469" s="9"/>
      <c r="AN469" s="9"/>
      <c r="AO469" s="66">
        <f t="shared" si="841"/>
        <v>0</v>
      </c>
      <c r="AP469" s="66">
        <f t="shared" si="842"/>
        <v>0</v>
      </c>
      <c r="AQ469" s="66">
        <f t="shared" si="843"/>
        <v>0</v>
      </c>
      <c r="AR469" s="9"/>
      <c r="AS469" s="9"/>
      <c r="AT469" s="9"/>
      <c r="AU469" s="9"/>
      <c r="AV469" s="9"/>
      <c r="AW469" s="9">
        <f t="shared" si="844"/>
        <v>0</v>
      </c>
      <c r="AX469" s="9" t="s">
        <v>48</v>
      </c>
      <c r="AY469" s="5">
        <v>0</v>
      </c>
      <c r="AZ469" s="5">
        <f t="shared" si="815"/>
        <v>0</v>
      </c>
    </row>
    <row r="470" spans="1:52" s="5" customFormat="1" ht="30">
      <c r="A470" s="149"/>
      <c r="B470" s="133"/>
      <c r="C470" s="150"/>
      <c r="D470" s="7" t="s">
        <v>21</v>
      </c>
      <c r="E470" s="7">
        <v>42028803</v>
      </c>
      <c r="F470" s="8" t="s">
        <v>46</v>
      </c>
      <c r="G470" s="8" t="s">
        <v>122</v>
      </c>
      <c r="H470" s="9"/>
      <c r="I470" s="9"/>
      <c r="J470" s="9"/>
      <c r="K470" s="9"/>
      <c r="L470" s="9"/>
      <c r="M470" s="9">
        <f t="shared" si="846"/>
        <v>0</v>
      </c>
      <c r="N470" s="9"/>
      <c r="O470" s="9">
        <f t="shared" si="847"/>
        <v>0</v>
      </c>
      <c r="P470" s="9">
        <v>42000</v>
      </c>
      <c r="Q470" s="9"/>
      <c r="R470" s="9"/>
      <c r="S470" s="9"/>
      <c r="T470" s="9">
        <f t="shared" si="848"/>
        <v>42000</v>
      </c>
      <c r="U470" s="9"/>
      <c r="V470" s="9">
        <f t="shared" si="837"/>
        <v>0</v>
      </c>
      <c r="W470" s="9">
        <v>33000</v>
      </c>
      <c r="X470" s="9">
        <v>10000</v>
      </c>
      <c r="Y470" s="9"/>
      <c r="Z470" s="9"/>
      <c r="AA470" s="9"/>
      <c r="AB470" s="9"/>
      <c r="AC470" s="9"/>
      <c r="AD470" s="66">
        <f t="shared" si="693"/>
        <v>43000</v>
      </c>
      <c r="AE470" s="9">
        <v>19475.97</v>
      </c>
      <c r="AF470" s="9">
        <f t="shared" si="838"/>
        <v>19475.97</v>
      </c>
      <c r="AG470" s="9">
        <v>23000</v>
      </c>
      <c r="AH470" s="9"/>
      <c r="AI470" s="9"/>
      <c r="AJ470" s="9"/>
      <c r="AK470" s="9"/>
      <c r="AL470" s="9"/>
      <c r="AM470" s="9"/>
      <c r="AN470" s="9"/>
      <c r="AO470" s="66">
        <f t="shared" si="841"/>
        <v>23000</v>
      </c>
      <c r="AP470" s="66">
        <f t="shared" si="842"/>
        <v>0</v>
      </c>
      <c r="AQ470" s="66">
        <f t="shared" si="843"/>
        <v>23000</v>
      </c>
      <c r="AR470" s="9">
        <v>-288.56</v>
      </c>
      <c r="AS470" s="9"/>
      <c r="AT470" s="9"/>
      <c r="AU470" s="9"/>
      <c r="AV470" s="9"/>
      <c r="AW470" s="9">
        <f t="shared" si="844"/>
        <v>42187.41</v>
      </c>
      <c r="AX470" s="9" t="s">
        <v>48</v>
      </c>
      <c r="AY470" s="5">
        <v>42187.4</v>
      </c>
      <c r="AZ470" s="5">
        <f t="shared" si="815"/>
        <v>1.0000000002037268E-2</v>
      </c>
    </row>
    <row r="471" spans="1:52" s="5" customFormat="1" ht="30">
      <c r="A471" s="149"/>
      <c r="B471" s="133"/>
      <c r="C471" s="150"/>
      <c r="D471" s="7" t="s">
        <v>21</v>
      </c>
      <c r="E471" s="7"/>
      <c r="F471" s="7" t="s">
        <v>19</v>
      </c>
      <c r="G471" s="8" t="s">
        <v>122</v>
      </c>
      <c r="H471" s="9">
        <f t="shared" ref="H471:N471" si="849">H317</f>
        <v>0</v>
      </c>
      <c r="I471" s="9">
        <f t="shared" si="849"/>
        <v>1000000</v>
      </c>
      <c r="J471" s="9">
        <f t="shared" si="849"/>
        <v>0</v>
      </c>
      <c r="K471" s="9">
        <f t="shared" si="849"/>
        <v>0</v>
      </c>
      <c r="L471" s="9">
        <f t="shared" si="849"/>
        <v>0</v>
      </c>
      <c r="M471" s="9">
        <f t="shared" si="849"/>
        <v>1000000</v>
      </c>
      <c r="N471" s="9">
        <f t="shared" si="849"/>
        <v>0</v>
      </c>
      <c r="O471" s="9">
        <f t="shared" ref="O471" si="850">O477-O468-O469-O470</f>
        <v>0</v>
      </c>
      <c r="P471" s="9">
        <f>P304</f>
        <v>103000</v>
      </c>
      <c r="Q471" s="9"/>
      <c r="R471" s="9"/>
      <c r="S471" s="9"/>
      <c r="T471" s="9">
        <f t="shared" si="848"/>
        <v>103000</v>
      </c>
      <c r="U471" s="9">
        <f>U304</f>
        <v>0</v>
      </c>
      <c r="V471" s="9">
        <f t="shared" si="837"/>
        <v>0</v>
      </c>
      <c r="W471" s="9">
        <f>W307</f>
        <v>104000</v>
      </c>
      <c r="X471" s="9">
        <f t="shared" ref="X471:Z471" si="851">X307</f>
        <v>23000</v>
      </c>
      <c r="Y471" s="9">
        <f t="shared" si="851"/>
        <v>0</v>
      </c>
      <c r="Z471" s="9">
        <f t="shared" si="851"/>
        <v>0</v>
      </c>
      <c r="AA471" s="9"/>
      <c r="AB471" s="9"/>
      <c r="AC471" s="9"/>
      <c r="AD471" s="66">
        <f t="shared" si="693"/>
        <v>127000</v>
      </c>
      <c r="AE471" s="9">
        <f t="shared" ref="AE471:AN471" si="852">AE307</f>
        <v>49777.01</v>
      </c>
      <c r="AF471" s="9">
        <f t="shared" si="852"/>
        <v>49777.01</v>
      </c>
      <c r="AG471" s="9">
        <f t="shared" si="852"/>
        <v>54000</v>
      </c>
      <c r="AH471" s="9">
        <f t="shared" si="852"/>
        <v>0</v>
      </c>
      <c r="AI471" s="9">
        <f t="shared" si="852"/>
        <v>0</v>
      </c>
      <c r="AJ471" s="9">
        <f t="shared" si="852"/>
        <v>0</v>
      </c>
      <c r="AK471" s="9">
        <f t="shared" si="852"/>
        <v>0</v>
      </c>
      <c r="AL471" s="9">
        <f t="shared" si="852"/>
        <v>0</v>
      </c>
      <c r="AM471" s="9">
        <f t="shared" si="852"/>
        <v>0</v>
      </c>
      <c r="AN471" s="9">
        <f t="shared" si="852"/>
        <v>0</v>
      </c>
      <c r="AO471" s="66">
        <f t="shared" si="841"/>
        <v>54000</v>
      </c>
      <c r="AP471" s="66">
        <f t="shared" si="842"/>
        <v>0</v>
      </c>
      <c r="AQ471" s="66">
        <f t="shared" si="843"/>
        <v>54000</v>
      </c>
      <c r="AR471" s="9">
        <f t="shared" ref="AR471:AV471" si="853">AR307</f>
        <v>-972.43</v>
      </c>
      <c r="AS471" s="9">
        <f t="shared" si="853"/>
        <v>0</v>
      </c>
      <c r="AT471" s="9">
        <f t="shared" si="853"/>
        <v>0</v>
      </c>
      <c r="AU471" s="9">
        <f t="shared" si="853"/>
        <v>0</v>
      </c>
      <c r="AV471" s="9">
        <f t="shared" si="853"/>
        <v>0</v>
      </c>
      <c r="AW471" s="9">
        <f t="shared" si="844"/>
        <v>102804.58000000002</v>
      </c>
      <c r="AX471" s="9" t="s">
        <v>48</v>
      </c>
      <c r="AY471" s="5">
        <v>102804.56999999999</v>
      </c>
      <c r="AZ471" s="5">
        <f t="shared" si="815"/>
        <v>1.0000000023865141E-2</v>
      </c>
    </row>
    <row r="472" spans="1:52" s="5" customFormat="1" ht="30">
      <c r="A472" s="149"/>
      <c r="B472" s="133"/>
      <c r="C472" s="150"/>
      <c r="D472" s="7"/>
      <c r="E472" s="7"/>
      <c r="F472" s="7" t="s">
        <v>209</v>
      </c>
      <c r="G472" s="8" t="s">
        <v>122</v>
      </c>
      <c r="H472" s="9">
        <f t="shared" ref="H472:S472" si="854">H473-H468-H469-H470-H471</f>
        <v>0</v>
      </c>
      <c r="I472" s="9">
        <f t="shared" si="854"/>
        <v>0</v>
      </c>
      <c r="J472" s="9">
        <f t="shared" si="854"/>
        <v>0</v>
      </c>
      <c r="K472" s="9">
        <f t="shared" si="854"/>
        <v>0</v>
      </c>
      <c r="L472" s="9">
        <f t="shared" si="854"/>
        <v>0</v>
      </c>
      <c r="M472" s="9">
        <f t="shared" si="854"/>
        <v>0</v>
      </c>
      <c r="N472" s="9">
        <f t="shared" si="854"/>
        <v>0</v>
      </c>
      <c r="O472" s="9">
        <f t="shared" si="854"/>
        <v>0</v>
      </c>
      <c r="P472" s="9">
        <f t="shared" si="854"/>
        <v>0</v>
      </c>
      <c r="Q472" s="9">
        <f t="shared" si="854"/>
        <v>0</v>
      </c>
      <c r="R472" s="9">
        <f t="shared" si="854"/>
        <v>0</v>
      </c>
      <c r="S472" s="9">
        <f t="shared" si="854"/>
        <v>0</v>
      </c>
      <c r="T472" s="9">
        <f t="shared" si="848"/>
        <v>0</v>
      </c>
      <c r="U472" s="9">
        <f t="shared" ref="U472" si="855">U473-U468-U469-U470-U471</f>
        <v>0</v>
      </c>
      <c r="V472" s="9">
        <f>V477-V468-V469-V470-V471</f>
        <v>0</v>
      </c>
      <c r="W472" s="9">
        <f>W477-W468-W469-W470-W471</f>
        <v>-1000</v>
      </c>
      <c r="X472" s="9">
        <f t="shared" ref="X472:AE472" si="856">X477-X468-X469-X470-X471</f>
        <v>-23000</v>
      </c>
      <c r="Y472" s="9">
        <f t="shared" si="856"/>
        <v>0</v>
      </c>
      <c r="Z472" s="9">
        <f t="shared" si="856"/>
        <v>0</v>
      </c>
      <c r="AA472" s="9"/>
      <c r="AB472" s="9"/>
      <c r="AC472" s="9"/>
      <c r="AD472" s="66">
        <f t="shared" si="856"/>
        <v>-24000</v>
      </c>
      <c r="AE472" s="9">
        <f t="shared" si="856"/>
        <v>0</v>
      </c>
      <c r="AF472" s="9">
        <f t="shared" ref="AF472:AW472" si="857">AF477-AF468-AF469-AF470-AF471</f>
        <v>0</v>
      </c>
      <c r="AG472" s="9">
        <f t="shared" si="857"/>
        <v>0</v>
      </c>
      <c r="AH472" s="9">
        <f t="shared" si="857"/>
        <v>0</v>
      </c>
      <c r="AI472" s="9">
        <f t="shared" si="857"/>
        <v>0</v>
      </c>
      <c r="AJ472" s="9">
        <f t="shared" si="857"/>
        <v>0</v>
      </c>
      <c r="AK472" s="9">
        <f t="shared" si="857"/>
        <v>0</v>
      </c>
      <c r="AL472" s="9">
        <f t="shared" si="857"/>
        <v>0</v>
      </c>
      <c r="AM472" s="9">
        <f t="shared" si="857"/>
        <v>0</v>
      </c>
      <c r="AN472" s="9">
        <f t="shared" si="857"/>
        <v>0</v>
      </c>
      <c r="AO472" s="66">
        <f t="shared" si="857"/>
        <v>0</v>
      </c>
      <c r="AP472" s="66">
        <f t="shared" si="857"/>
        <v>0</v>
      </c>
      <c r="AQ472" s="66">
        <f t="shared" si="857"/>
        <v>0</v>
      </c>
      <c r="AR472" s="9">
        <f t="shared" si="857"/>
        <v>0</v>
      </c>
      <c r="AS472" s="9">
        <f t="shared" si="857"/>
        <v>0</v>
      </c>
      <c r="AT472" s="9">
        <f t="shared" si="857"/>
        <v>0</v>
      </c>
      <c r="AU472" s="9">
        <f t="shared" si="857"/>
        <v>0</v>
      </c>
      <c r="AV472" s="9">
        <f t="shared" si="857"/>
        <v>0</v>
      </c>
      <c r="AW472" s="9">
        <f t="shared" si="857"/>
        <v>0</v>
      </c>
      <c r="AX472" s="9" t="s">
        <v>48</v>
      </c>
      <c r="AY472" s="5">
        <v>0</v>
      </c>
      <c r="AZ472" s="5">
        <f t="shared" si="815"/>
        <v>0</v>
      </c>
    </row>
    <row r="473" spans="1:52" s="5" customFormat="1" ht="30">
      <c r="A473" s="149"/>
      <c r="B473" s="133"/>
      <c r="C473" s="150"/>
      <c r="D473" s="7" t="s">
        <v>21</v>
      </c>
      <c r="E473" s="7"/>
      <c r="F473" s="7" t="s">
        <v>47</v>
      </c>
      <c r="G473" s="8" t="s">
        <v>122</v>
      </c>
      <c r="H473" s="9">
        <f t="shared" ref="H473:M473" si="858">SUM(H468:H471)</f>
        <v>0</v>
      </c>
      <c r="I473" s="9">
        <f t="shared" si="858"/>
        <v>1000000</v>
      </c>
      <c r="J473" s="9">
        <f t="shared" si="858"/>
        <v>0</v>
      </c>
      <c r="K473" s="9">
        <f t="shared" si="858"/>
        <v>0</v>
      </c>
      <c r="L473" s="9">
        <f t="shared" si="858"/>
        <v>0</v>
      </c>
      <c r="M473" s="9">
        <f t="shared" si="858"/>
        <v>1000000</v>
      </c>
      <c r="N473" s="9">
        <f t="shared" ref="N473:S473" si="859">SUM(N468:N471)</f>
        <v>0</v>
      </c>
      <c r="O473" s="9">
        <f t="shared" si="859"/>
        <v>0</v>
      </c>
      <c r="P473" s="9">
        <f t="shared" si="859"/>
        <v>368000</v>
      </c>
      <c r="Q473" s="9">
        <f t="shared" si="859"/>
        <v>0</v>
      </c>
      <c r="R473" s="9">
        <f t="shared" si="859"/>
        <v>0</v>
      </c>
      <c r="S473" s="9">
        <f t="shared" si="859"/>
        <v>0</v>
      </c>
      <c r="T473" s="9">
        <f t="shared" si="848"/>
        <v>368000</v>
      </c>
      <c r="U473" s="9">
        <f t="shared" ref="U473" si="860">SUM(U468:U471)</f>
        <v>0</v>
      </c>
      <c r="V473" s="9">
        <f>SUM(V468:V472)</f>
        <v>0</v>
      </c>
      <c r="W473" s="9">
        <f t="shared" ref="W473:AD473" si="861">SUM(W468:W472)</f>
        <v>309000</v>
      </c>
      <c r="X473" s="9">
        <f t="shared" si="861"/>
        <v>60000</v>
      </c>
      <c r="Y473" s="9">
        <f t="shared" si="861"/>
        <v>0</v>
      </c>
      <c r="Z473" s="9">
        <f t="shared" si="861"/>
        <v>0</v>
      </c>
      <c r="AA473" s="9"/>
      <c r="AB473" s="9"/>
      <c r="AC473" s="9"/>
      <c r="AD473" s="66">
        <f t="shared" si="861"/>
        <v>369000</v>
      </c>
      <c r="AE473" s="9">
        <f t="shared" ref="AE473" si="862">SUM(AE468:AE472)</f>
        <v>171757.94</v>
      </c>
      <c r="AF473" s="9">
        <f t="shared" ref="AF473:AW473" si="863">SUM(AF468:AF472)</f>
        <v>171757.94</v>
      </c>
      <c r="AG473" s="9">
        <f t="shared" si="863"/>
        <v>197000</v>
      </c>
      <c r="AH473" s="9">
        <f t="shared" si="863"/>
        <v>0</v>
      </c>
      <c r="AI473" s="9">
        <f t="shared" si="863"/>
        <v>0</v>
      </c>
      <c r="AJ473" s="9">
        <f t="shared" si="863"/>
        <v>0</v>
      </c>
      <c r="AK473" s="9">
        <f t="shared" si="863"/>
        <v>0</v>
      </c>
      <c r="AL473" s="9">
        <f t="shared" si="863"/>
        <v>0</v>
      </c>
      <c r="AM473" s="9">
        <f t="shared" si="863"/>
        <v>0</v>
      </c>
      <c r="AN473" s="9">
        <f t="shared" si="863"/>
        <v>0</v>
      </c>
      <c r="AO473" s="66">
        <f t="shared" si="863"/>
        <v>197000</v>
      </c>
      <c r="AP473" s="66">
        <f t="shared" si="863"/>
        <v>0</v>
      </c>
      <c r="AQ473" s="66">
        <f t="shared" si="863"/>
        <v>197000</v>
      </c>
      <c r="AR473" s="9">
        <f t="shared" si="863"/>
        <v>-1726.9499999999998</v>
      </c>
      <c r="AS473" s="9">
        <f t="shared" si="863"/>
        <v>0</v>
      </c>
      <c r="AT473" s="9">
        <f t="shared" si="863"/>
        <v>0</v>
      </c>
      <c r="AU473" s="9">
        <f t="shared" si="863"/>
        <v>0</v>
      </c>
      <c r="AV473" s="9">
        <f t="shared" si="863"/>
        <v>0</v>
      </c>
      <c r="AW473" s="9">
        <f t="shared" si="863"/>
        <v>367030.99000000005</v>
      </c>
      <c r="AX473" s="9" t="s">
        <v>48</v>
      </c>
      <c r="AY473" s="5">
        <v>367030.97</v>
      </c>
      <c r="AZ473" s="5">
        <f t="shared" si="815"/>
        <v>2.0000000076834112E-2</v>
      </c>
    </row>
    <row r="474" spans="1:52" s="4" customFormat="1" ht="30">
      <c r="A474" s="149"/>
      <c r="B474" s="133"/>
      <c r="C474" s="150"/>
      <c r="D474" s="25" t="s">
        <v>22</v>
      </c>
      <c r="E474" s="25">
        <v>6001</v>
      </c>
      <c r="F474" s="37" t="s">
        <v>44</v>
      </c>
      <c r="G474" s="37" t="s">
        <v>122</v>
      </c>
      <c r="H474" s="26"/>
      <c r="I474" s="26"/>
      <c r="J474" s="26"/>
      <c r="K474" s="26"/>
      <c r="L474" s="26"/>
      <c r="M474" s="26"/>
      <c r="N474" s="26"/>
      <c r="O474" s="26">
        <f t="shared" ref="O474:O476" si="864">H474+N474</f>
        <v>0</v>
      </c>
      <c r="P474" s="26">
        <v>223000</v>
      </c>
      <c r="Q474" s="26"/>
      <c r="R474" s="26"/>
      <c r="S474" s="26"/>
      <c r="T474" s="26">
        <f t="shared" si="848"/>
        <v>223000</v>
      </c>
      <c r="U474" s="26">
        <v>0</v>
      </c>
      <c r="V474" s="26">
        <f t="shared" ref="V474:V476" si="865">O474+U474</f>
        <v>0</v>
      </c>
      <c r="W474" s="26">
        <f>172070.3+929.700000000012</f>
        <v>173000</v>
      </c>
      <c r="X474" s="26">
        <f>49968.7-929.700000000012+961.000000000015</f>
        <v>50000</v>
      </c>
      <c r="Y474" s="26"/>
      <c r="Z474" s="26"/>
      <c r="AA474" s="26"/>
      <c r="AB474" s="26"/>
      <c r="AC474" s="26"/>
      <c r="AD474" s="67">
        <f t="shared" si="693"/>
        <v>223000</v>
      </c>
      <c r="AE474" s="26">
        <v>102504.96000000001</v>
      </c>
      <c r="AF474" s="26">
        <f t="shared" ref="AF474:AF481" si="866">V474+AE474</f>
        <v>102504.96000000001</v>
      </c>
      <c r="AG474" s="26">
        <f>119534.04+465.96</f>
        <v>120000</v>
      </c>
      <c r="AH474" s="26"/>
      <c r="AI474" s="26"/>
      <c r="AJ474" s="26"/>
      <c r="AK474" s="26"/>
      <c r="AL474" s="26"/>
      <c r="AM474" s="26"/>
      <c r="AN474" s="26"/>
      <c r="AO474" s="67">
        <f t="shared" si="841"/>
        <v>120000</v>
      </c>
      <c r="AP474" s="67">
        <f t="shared" si="842"/>
        <v>0</v>
      </c>
      <c r="AQ474" s="67">
        <f t="shared" si="843"/>
        <v>120000</v>
      </c>
      <c r="AR474" s="26">
        <v>-465.96</v>
      </c>
      <c r="AS474" s="26"/>
      <c r="AT474" s="26"/>
      <c r="AU474" s="26"/>
      <c r="AV474" s="26"/>
      <c r="AW474" s="26">
        <f t="shared" si="844"/>
        <v>222039.00000000003</v>
      </c>
      <c r="AX474" s="26" t="s">
        <v>48</v>
      </c>
      <c r="AY474" s="4">
        <v>222039</v>
      </c>
      <c r="AZ474" s="4">
        <f t="shared" si="815"/>
        <v>0</v>
      </c>
    </row>
    <row r="475" spans="1:52" s="4" customFormat="1" ht="30">
      <c r="A475" s="149"/>
      <c r="B475" s="133"/>
      <c r="C475" s="150"/>
      <c r="D475" s="25" t="s">
        <v>22</v>
      </c>
      <c r="E475" s="25">
        <v>6002</v>
      </c>
      <c r="F475" s="37" t="s">
        <v>45</v>
      </c>
      <c r="G475" s="37" t="s">
        <v>122</v>
      </c>
      <c r="H475" s="26"/>
      <c r="I475" s="26"/>
      <c r="J475" s="26"/>
      <c r="K475" s="26"/>
      <c r="L475" s="26"/>
      <c r="M475" s="26"/>
      <c r="N475" s="26"/>
      <c r="O475" s="26">
        <f t="shared" si="864"/>
        <v>0</v>
      </c>
      <c r="P475" s="26">
        <f>P307</f>
        <v>103000</v>
      </c>
      <c r="Q475" s="26"/>
      <c r="R475" s="26"/>
      <c r="S475" s="26"/>
      <c r="T475" s="26">
        <f t="shared" si="848"/>
        <v>103000</v>
      </c>
      <c r="U475" s="26">
        <v>0</v>
      </c>
      <c r="V475" s="26">
        <f t="shared" si="865"/>
        <v>0</v>
      </c>
      <c r="W475" s="26">
        <f>79668.95+331.050000000003+24000-1000</f>
        <v>103000</v>
      </c>
      <c r="X475" s="26"/>
      <c r="Y475" s="26"/>
      <c r="Z475" s="26"/>
      <c r="AA475" s="26"/>
      <c r="AB475" s="26"/>
      <c r="AC475" s="26"/>
      <c r="AD475" s="67">
        <f t="shared" si="693"/>
        <v>103000</v>
      </c>
      <c r="AE475" s="26">
        <v>49777.01</v>
      </c>
      <c r="AF475" s="26">
        <f t="shared" si="866"/>
        <v>49777.01</v>
      </c>
      <c r="AG475" s="26">
        <f>53027.57+972.43</f>
        <v>54000</v>
      </c>
      <c r="AH475" s="26"/>
      <c r="AI475" s="26"/>
      <c r="AJ475" s="26"/>
      <c r="AK475" s="26"/>
      <c r="AL475" s="26"/>
      <c r="AM475" s="26"/>
      <c r="AN475" s="26"/>
      <c r="AO475" s="67">
        <f t="shared" si="841"/>
        <v>54000</v>
      </c>
      <c r="AP475" s="67">
        <f t="shared" si="842"/>
        <v>0</v>
      </c>
      <c r="AQ475" s="67">
        <f t="shared" si="843"/>
        <v>54000</v>
      </c>
      <c r="AR475" s="26">
        <v>-972.43</v>
      </c>
      <c r="AS475" s="26"/>
      <c r="AT475" s="26"/>
      <c r="AU475" s="26"/>
      <c r="AV475" s="26"/>
      <c r="AW475" s="26">
        <f t="shared" si="844"/>
        <v>102804.58000000002</v>
      </c>
      <c r="AX475" s="26" t="s">
        <v>48</v>
      </c>
      <c r="AY475" s="4">
        <v>102804.58</v>
      </c>
      <c r="AZ475" s="4">
        <f t="shared" si="815"/>
        <v>0</v>
      </c>
    </row>
    <row r="476" spans="1:52" s="4" customFormat="1" ht="30">
      <c r="A476" s="149"/>
      <c r="B476" s="133"/>
      <c r="C476" s="150"/>
      <c r="D476" s="25" t="s">
        <v>22</v>
      </c>
      <c r="E476" s="25">
        <v>6003</v>
      </c>
      <c r="F476" s="37" t="s">
        <v>46</v>
      </c>
      <c r="G476" s="37" t="s">
        <v>122</v>
      </c>
      <c r="H476" s="26"/>
      <c r="I476" s="26"/>
      <c r="J476" s="26"/>
      <c r="K476" s="26"/>
      <c r="L476" s="26"/>
      <c r="M476" s="26">
        <f t="shared" ref="M476" si="867">SUM(I476:L476)</f>
        <v>0</v>
      </c>
      <c r="N476" s="26"/>
      <c r="O476" s="26">
        <f t="shared" si="864"/>
        <v>0</v>
      </c>
      <c r="P476" s="26">
        <v>42000</v>
      </c>
      <c r="Q476" s="26"/>
      <c r="R476" s="26"/>
      <c r="S476" s="26"/>
      <c r="T476" s="26">
        <f t="shared" si="848"/>
        <v>42000</v>
      </c>
      <c r="U476" s="26">
        <v>0</v>
      </c>
      <c r="V476" s="26">
        <f t="shared" si="865"/>
        <v>0</v>
      </c>
      <c r="W476" s="26">
        <f>32693.36+306.64</f>
        <v>33000</v>
      </c>
      <c r="X476" s="26">
        <f>9494.04+505.959999999999</f>
        <v>10000</v>
      </c>
      <c r="Y476" s="26"/>
      <c r="Z476" s="26"/>
      <c r="AA476" s="26"/>
      <c r="AB476" s="26"/>
      <c r="AC476" s="26"/>
      <c r="AD476" s="67">
        <f t="shared" si="693"/>
        <v>43000</v>
      </c>
      <c r="AE476" s="26">
        <v>19475.97</v>
      </c>
      <c r="AF476" s="26">
        <f t="shared" si="866"/>
        <v>19475.97</v>
      </c>
      <c r="AG476" s="26">
        <f>22711.44+288.56</f>
        <v>23000</v>
      </c>
      <c r="AH476" s="26"/>
      <c r="AI476" s="26"/>
      <c r="AJ476" s="26"/>
      <c r="AK476" s="26"/>
      <c r="AL476" s="26"/>
      <c r="AM476" s="26"/>
      <c r="AN476" s="26"/>
      <c r="AO476" s="67">
        <f t="shared" si="841"/>
        <v>23000</v>
      </c>
      <c r="AP476" s="67">
        <f t="shared" si="842"/>
        <v>0</v>
      </c>
      <c r="AQ476" s="67">
        <f t="shared" si="843"/>
        <v>23000</v>
      </c>
      <c r="AR476" s="26">
        <v>-288.56</v>
      </c>
      <c r="AS476" s="26"/>
      <c r="AT476" s="26"/>
      <c r="AU476" s="26"/>
      <c r="AV476" s="26"/>
      <c r="AW476" s="26">
        <f t="shared" si="844"/>
        <v>42187.41</v>
      </c>
      <c r="AX476" s="26" t="s">
        <v>48</v>
      </c>
      <c r="AY476" s="4">
        <v>42187.41</v>
      </c>
      <c r="AZ476" s="4">
        <f t="shared" si="815"/>
        <v>0</v>
      </c>
    </row>
    <row r="477" spans="1:52" s="4" customFormat="1" ht="30">
      <c r="A477" s="149"/>
      <c r="B477" s="133"/>
      <c r="C477" s="150"/>
      <c r="D477" s="25" t="s">
        <v>22</v>
      </c>
      <c r="E477" s="25"/>
      <c r="F477" s="25" t="s">
        <v>29</v>
      </c>
      <c r="G477" s="37" t="s">
        <v>122</v>
      </c>
      <c r="H477" s="26">
        <f>SUM(H474:H476)</f>
        <v>0</v>
      </c>
      <c r="I477" s="26">
        <f t="shared" ref="I477:U477" si="868">SUM(I474:I476)</f>
        <v>0</v>
      </c>
      <c r="J477" s="26">
        <f t="shared" si="868"/>
        <v>0</v>
      </c>
      <c r="K477" s="26">
        <f t="shared" si="868"/>
        <v>0</v>
      </c>
      <c r="L477" s="26">
        <f t="shared" si="868"/>
        <v>0</v>
      </c>
      <c r="M477" s="26">
        <f t="shared" si="868"/>
        <v>0</v>
      </c>
      <c r="N477" s="26">
        <f t="shared" si="868"/>
        <v>0</v>
      </c>
      <c r="O477" s="26">
        <f t="shared" si="868"/>
        <v>0</v>
      </c>
      <c r="P477" s="26">
        <f t="shared" si="868"/>
        <v>368000</v>
      </c>
      <c r="Q477" s="26">
        <f t="shared" si="868"/>
        <v>0</v>
      </c>
      <c r="R477" s="26">
        <f t="shared" si="868"/>
        <v>0</v>
      </c>
      <c r="S477" s="26">
        <f t="shared" si="868"/>
        <v>0</v>
      </c>
      <c r="T477" s="26">
        <f t="shared" si="848"/>
        <v>368000</v>
      </c>
      <c r="U477" s="26">
        <f t="shared" si="868"/>
        <v>0</v>
      </c>
      <c r="V477" s="26">
        <f>SUM(V474:V476)</f>
        <v>0</v>
      </c>
      <c r="W477" s="26">
        <f t="shared" ref="W477:AW477" si="869">SUM(W474:W476)</f>
        <v>309000</v>
      </c>
      <c r="X477" s="26">
        <f t="shared" si="869"/>
        <v>60000</v>
      </c>
      <c r="Y477" s="26">
        <f t="shared" si="869"/>
        <v>0</v>
      </c>
      <c r="Z477" s="26">
        <f t="shared" si="869"/>
        <v>0</v>
      </c>
      <c r="AA477" s="26"/>
      <c r="AB477" s="26"/>
      <c r="AC477" s="26"/>
      <c r="AD477" s="67">
        <f t="shared" si="869"/>
        <v>369000</v>
      </c>
      <c r="AE477" s="26">
        <f t="shared" si="869"/>
        <v>171757.94</v>
      </c>
      <c r="AF477" s="26">
        <f t="shared" si="869"/>
        <v>171757.94</v>
      </c>
      <c r="AG477" s="26">
        <f t="shared" si="869"/>
        <v>197000</v>
      </c>
      <c r="AH477" s="26">
        <f t="shared" si="869"/>
        <v>0</v>
      </c>
      <c r="AI477" s="26">
        <f t="shared" si="869"/>
        <v>0</v>
      </c>
      <c r="AJ477" s="26">
        <f t="shared" si="869"/>
        <v>0</v>
      </c>
      <c r="AK477" s="26">
        <f t="shared" si="869"/>
        <v>0</v>
      </c>
      <c r="AL477" s="26">
        <f t="shared" si="869"/>
        <v>0</v>
      </c>
      <c r="AM477" s="26">
        <f t="shared" si="869"/>
        <v>0</v>
      </c>
      <c r="AN477" s="26">
        <f t="shared" si="869"/>
        <v>0</v>
      </c>
      <c r="AO477" s="67">
        <f t="shared" si="869"/>
        <v>197000</v>
      </c>
      <c r="AP477" s="67">
        <f t="shared" si="869"/>
        <v>0</v>
      </c>
      <c r="AQ477" s="67">
        <f t="shared" si="869"/>
        <v>197000</v>
      </c>
      <c r="AR477" s="26">
        <f t="shared" si="869"/>
        <v>-1726.9499999999998</v>
      </c>
      <c r="AS477" s="26">
        <f t="shared" si="869"/>
        <v>0</v>
      </c>
      <c r="AT477" s="26">
        <f t="shared" si="869"/>
        <v>0</v>
      </c>
      <c r="AU477" s="26">
        <f t="shared" si="869"/>
        <v>0</v>
      </c>
      <c r="AV477" s="26">
        <f t="shared" si="869"/>
        <v>0</v>
      </c>
      <c r="AW477" s="26">
        <f t="shared" si="869"/>
        <v>367030.99000000011</v>
      </c>
      <c r="AX477" s="26" t="s">
        <v>48</v>
      </c>
      <c r="AY477" s="4">
        <v>367030.99</v>
      </c>
      <c r="AZ477" s="4">
        <f t="shared" si="815"/>
        <v>0</v>
      </c>
    </row>
    <row r="478" spans="1:52" s="5" customFormat="1" ht="30">
      <c r="A478" s="149" t="s">
        <v>338</v>
      </c>
      <c r="B478" s="133" t="s">
        <v>26</v>
      </c>
      <c r="C478" s="150">
        <v>66</v>
      </c>
      <c r="D478" s="7" t="s">
        <v>21</v>
      </c>
      <c r="E478" s="7">
        <v>42028801</v>
      </c>
      <c r="F478" s="8" t="s">
        <v>44</v>
      </c>
      <c r="G478" s="8" t="s">
        <v>237</v>
      </c>
      <c r="H478" s="9"/>
      <c r="I478" s="9"/>
      <c r="J478" s="9"/>
      <c r="K478" s="9"/>
      <c r="L478" s="9"/>
      <c r="M478" s="9">
        <f t="shared" ref="M478:M480" si="870">SUM(I478:L478)</f>
        <v>0</v>
      </c>
      <c r="N478" s="9"/>
      <c r="O478" s="9">
        <f>H478+N478</f>
        <v>0</v>
      </c>
      <c r="P478" s="9">
        <v>223000</v>
      </c>
      <c r="Q478" s="9"/>
      <c r="R478" s="9"/>
      <c r="S478" s="9"/>
      <c r="T478" s="9">
        <f>SUM(P478:S478)</f>
        <v>223000</v>
      </c>
      <c r="U478" s="9"/>
      <c r="V478" s="9">
        <f t="shared" ref="V478:V481" si="871">O478+U478</f>
        <v>0</v>
      </c>
      <c r="W478" s="9"/>
      <c r="X478" s="9">
        <v>4878000</v>
      </c>
      <c r="Y478" s="9"/>
      <c r="Z478" s="9"/>
      <c r="AA478" s="9"/>
      <c r="AB478" s="9"/>
      <c r="AC478" s="9"/>
      <c r="AD478" s="66">
        <f t="shared" ref="AD478:AD481" si="872">SUM(W478:Z478)</f>
        <v>4878000</v>
      </c>
      <c r="AE478" s="9"/>
      <c r="AF478" s="9">
        <f t="shared" si="866"/>
        <v>0</v>
      </c>
      <c r="AG478" s="9">
        <v>4878000</v>
      </c>
      <c r="AH478" s="9"/>
      <c r="AI478" s="9"/>
      <c r="AJ478" s="9"/>
      <c r="AK478" s="9"/>
      <c r="AL478" s="9"/>
      <c r="AM478" s="9"/>
      <c r="AN478" s="9"/>
      <c r="AO478" s="66">
        <f t="shared" si="841"/>
        <v>4878000</v>
      </c>
      <c r="AP478" s="66">
        <f t="shared" si="842"/>
        <v>0</v>
      </c>
      <c r="AQ478" s="66">
        <f t="shared" si="843"/>
        <v>4878000</v>
      </c>
      <c r="AR478" s="9">
        <v>-908.3</v>
      </c>
      <c r="AS478" s="9"/>
      <c r="AT478" s="9"/>
      <c r="AU478" s="9"/>
      <c r="AV478" s="9"/>
      <c r="AW478" s="9">
        <f t="shared" si="844"/>
        <v>4877091.7</v>
      </c>
      <c r="AX478" s="9" t="s">
        <v>48</v>
      </c>
      <c r="AY478" s="5">
        <v>4877091.7</v>
      </c>
      <c r="AZ478" s="5">
        <f t="shared" ref="AZ478:AZ487" si="873">AW478-AY478</f>
        <v>0</v>
      </c>
    </row>
    <row r="479" spans="1:52" s="5" customFormat="1" ht="30">
      <c r="A479" s="149"/>
      <c r="B479" s="133"/>
      <c r="C479" s="150"/>
      <c r="D479" s="7" t="s">
        <v>21</v>
      </c>
      <c r="E479" s="7">
        <v>42028802</v>
      </c>
      <c r="F479" s="8" t="s">
        <v>45</v>
      </c>
      <c r="G479" s="8" t="s">
        <v>237</v>
      </c>
      <c r="H479" s="9"/>
      <c r="I479" s="9"/>
      <c r="J479" s="9"/>
      <c r="K479" s="9"/>
      <c r="L479" s="9"/>
      <c r="M479" s="9">
        <f t="shared" si="870"/>
        <v>0</v>
      </c>
      <c r="N479" s="9"/>
      <c r="O479" s="9">
        <f t="shared" ref="O479:O480" si="874">H479+N479</f>
        <v>0</v>
      </c>
      <c r="P479" s="9"/>
      <c r="Q479" s="9"/>
      <c r="R479" s="9"/>
      <c r="S479" s="9"/>
      <c r="T479" s="9">
        <f t="shared" ref="T479:T487" si="875">SUM(P479:S479)</f>
        <v>0</v>
      </c>
      <c r="U479" s="9"/>
      <c r="V479" s="9">
        <f t="shared" si="871"/>
        <v>0</v>
      </c>
      <c r="W479" s="9"/>
      <c r="X479" s="9"/>
      <c r="Y479" s="9"/>
      <c r="Z479" s="9"/>
      <c r="AA479" s="9"/>
      <c r="AB479" s="9"/>
      <c r="AC479" s="9"/>
      <c r="AD479" s="66">
        <f t="shared" si="872"/>
        <v>0</v>
      </c>
      <c r="AE479" s="9"/>
      <c r="AF479" s="9">
        <f t="shared" si="866"/>
        <v>0</v>
      </c>
      <c r="AG479" s="9"/>
      <c r="AH479" s="9"/>
      <c r="AI479" s="9"/>
      <c r="AJ479" s="9"/>
      <c r="AK479" s="9"/>
      <c r="AL479" s="9"/>
      <c r="AM479" s="9"/>
      <c r="AN479" s="9"/>
      <c r="AO479" s="66">
        <f t="shared" si="841"/>
        <v>0</v>
      </c>
      <c r="AP479" s="66">
        <f t="shared" si="842"/>
        <v>0</v>
      </c>
      <c r="AQ479" s="66">
        <f t="shared" si="843"/>
        <v>0</v>
      </c>
      <c r="AR479" s="9"/>
      <c r="AS479" s="9"/>
      <c r="AT479" s="9"/>
      <c r="AU479" s="9"/>
      <c r="AV479" s="9"/>
      <c r="AW479" s="9">
        <f t="shared" si="844"/>
        <v>0</v>
      </c>
      <c r="AX479" s="9" t="s">
        <v>48</v>
      </c>
      <c r="AY479" s="5">
        <v>0</v>
      </c>
      <c r="AZ479" s="5">
        <f t="shared" si="873"/>
        <v>0</v>
      </c>
    </row>
    <row r="480" spans="1:52" s="5" customFormat="1" ht="30">
      <c r="A480" s="149"/>
      <c r="B480" s="133"/>
      <c r="C480" s="150"/>
      <c r="D480" s="7" t="s">
        <v>21</v>
      </c>
      <c r="E480" s="7">
        <v>42028803</v>
      </c>
      <c r="F480" s="8" t="s">
        <v>46</v>
      </c>
      <c r="G480" s="8" t="s">
        <v>237</v>
      </c>
      <c r="H480" s="9"/>
      <c r="I480" s="9"/>
      <c r="J480" s="9"/>
      <c r="K480" s="9"/>
      <c r="L480" s="9"/>
      <c r="M480" s="9">
        <f t="shared" si="870"/>
        <v>0</v>
      </c>
      <c r="N480" s="9"/>
      <c r="O480" s="9">
        <f t="shared" si="874"/>
        <v>0</v>
      </c>
      <c r="P480" s="9">
        <v>42000</v>
      </c>
      <c r="Q480" s="9"/>
      <c r="R480" s="9"/>
      <c r="S480" s="9"/>
      <c r="T480" s="9">
        <f t="shared" si="875"/>
        <v>42000</v>
      </c>
      <c r="U480" s="9"/>
      <c r="V480" s="9">
        <f t="shared" si="871"/>
        <v>0</v>
      </c>
      <c r="W480" s="9"/>
      <c r="X480" s="9">
        <v>927000</v>
      </c>
      <c r="Y480" s="9"/>
      <c r="Z480" s="9"/>
      <c r="AA480" s="9"/>
      <c r="AB480" s="9"/>
      <c r="AC480" s="9"/>
      <c r="AD480" s="66">
        <f t="shared" si="872"/>
        <v>927000</v>
      </c>
      <c r="AE480" s="9"/>
      <c r="AF480" s="9">
        <f t="shared" si="866"/>
        <v>0</v>
      </c>
      <c r="AG480" s="53">
        <f>927000+98000</f>
        <v>1025000</v>
      </c>
      <c r="AH480" s="9"/>
      <c r="AI480" s="9"/>
      <c r="AJ480" s="9"/>
      <c r="AK480" s="9"/>
      <c r="AL480" s="9"/>
      <c r="AM480" s="9"/>
      <c r="AN480" s="9"/>
      <c r="AO480" s="66">
        <f t="shared" si="841"/>
        <v>1025000</v>
      </c>
      <c r="AP480" s="66">
        <f t="shared" si="842"/>
        <v>0</v>
      </c>
      <c r="AQ480" s="66">
        <f t="shared" si="843"/>
        <v>1025000</v>
      </c>
      <c r="AR480" s="9">
        <v>-352.58</v>
      </c>
      <c r="AS480" s="9"/>
      <c r="AT480" s="9"/>
      <c r="AU480" s="9"/>
      <c r="AV480" s="9"/>
      <c r="AW480" s="9">
        <f t="shared" si="844"/>
        <v>1024647.42</v>
      </c>
      <c r="AX480" s="9" t="s">
        <v>48</v>
      </c>
      <c r="AY480" s="5">
        <v>926647.42</v>
      </c>
      <c r="AZ480" s="5">
        <f t="shared" si="873"/>
        <v>98000</v>
      </c>
    </row>
    <row r="481" spans="1:52" s="5" customFormat="1" ht="30">
      <c r="A481" s="149"/>
      <c r="B481" s="133"/>
      <c r="C481" s="150"/>
      <c r="D481" s="7" t="s">
        <v>21</v>
      </c>
      <c r="E481" s="7"/>
      <c r="F481" s="7" t="s">
        <v>19</v>
      </c>
      <c r="G481" s="8" t="s">
        <v>237</v>
      </c>
      <c r="H481" s="9">
        <f t="shared" ref="H481:N481" si="876">H327</f>
        <v>0</v>
      </c>
      <c r="I481" s="9">
        <f t="shared" si="876"/>
        <v>0</v>
      </c>
      <c r="J481" s="9">
        <f t="shared" si="876"/>
        <v>0</v>
      </c>
      <c r="K481" s="9">
        <f t="shared" si="876"/>
        <v>107000</v>
      </c>
      <c r="L481" s="9">
        <f t="shared" si="876"/>
        <v>2000</v>
      </c>
      <c r="M481" s="9">
        <f t="shared" si="876"/>
        <v>109000</v>
      </c>
      <c r="N481" s="9">
        <f t="shared" si="876"/>
        <v>0</v>
      </c>
      <c r="O481" s="9">
        <f t="shared" ref="O481" si="877">O487-O478-O479-O480</f>
        <v>0</v>
      </c>
      <c r="P481" s="9">
        <f>P314</f>
        <v>0</v>
      </c>
      <c r="Q481" s="9"/>
      <c r="R481" s="9"/>
      <c r="S481" s="9"/>
      <c r="T481" s="9">
        <f t="shared" si="875"/>
        <v>0</v>
      </c>
      <c r="U481" s="9">
        <f>U314</f>
        <v>0</v>
      </c>
      <c r="V481" s="9">
        <f t="shared" si="871"/>
        <v>0</v>
      </c>
      <c r="W481" s="9"/>
      <c r="X481" s="9"/>
      <c r="Y481" s="9">
        <f>Y317</f>
        <v>0</v>
      </c>
      <c r="Z481" s="9">
        <f>Z317</f>
        <v>0</v>
      </c>
      <c r="AA481" s="9"/>
      <c r="AB481" s="9"/>
      <c r="AC481" s="9"/>
      <c r="AD481" s="66">
        <f t="shared" si="872"/>
        <v>0</v>
      </c>
      <c r="AE481" s="9"/>
      <c r="AF481" s="9">
        <f t="shared" si="866"/>
        <v>0</v>
      </c>
      <c r="AG481" s="9"/>
      <c r="AH481" s="9"/>
      <c r="AI481" s="9"/>
      <c r="AJ481" s="9"/>
      <c r="AK481" s="9"/>
      <c r="AL481" s="9"/>
      <c r="AM481" s="9"/>
      <c r="AN481" s="9"/>
      <c r="AO481" s="66">
        <f t="shared" si="841"/>
        <v>0</v>
      </c>
      <c r="AP481" s="66">
        <f t="shared" si="842"/>
        <v>0</v>
      </c>
      <c r="AQ481" s="66">
        <f t="shared" si="843"/>
        <v>0</v>
      </c>
      <c r="AR481" s="9"/>
      <c r="AS481" s="9"/>
      <c r="AT481" s="9"/>
      <c r="AU481" s="9"/>
      <c r="AV481" s="9"/>
      <c r="AW481" s="9">
        <f t="shared" si="844"/>
        <v>0</v>
      </c>
      <c r="AX481" s="9" t="s">
        <v>48</v>
      </c>
      <c r="AY481" s="5">
        <v>0</v>
      </c>
      <c r="AZ481" s="5">
        <f t="shared" si="873"/>
        <v>0</v>
      </c>
    </row>
    <row r="482" spans="1:52" s="5" customFormat="1" ht="30">
      <c r="A482" s="149"/>
      <c r="B482" s="133"/>
      <c r="C482" s="150"/>
      <c r="D482" s="7"/>
      <c r="E482" s="7"/>
      <c r="F482" s="7" t="s">
        <v>209</v>
      </c>
      <c r="G482" s="8" t="s">
        <v>237</v>
      </c>
      <c r="H482" s="9">
        <f t="shared" ref="H482:S482" si="878">H483-H478-H479-H480-H481</f>
        <v>0</v>
      </c>
      <c r="I482" s="9">
        <f t="shared" si="878"/>
        <v>0</v>
      </c>
      <c r="J482" s="9">
        <f t="shared" si="878"/>
        <v>0</v>
      </c>
      <c r="K482" s="9">
        <f t="shared" si="878"/>
        <v>0</v>
      </c>
      <c r="L482" s="9">
        <f t="shared" si="878"/>
        <v>0</v>
      </c>
      <c r="M482" s="9">
        <f t="shared" si="878"/>
        <v>0</v>
      </c>
      <c r="N482" s="9">
        <f t="shared" si="878"/>
        <v>0</v>
      </c>
      <c r="O482" s="9">
        <f t="shared" si="878"/>
        <v>0</v>
      </c>
      <c r="P482" s="9">
        <f t="shared" si="878"/>
        <v>0</v>
      </c>
      <c r="Q482" s="9">
        <f t="shared" si="878"/>
        <v>0</v>
      </c>
      <c r="R482" s="9">
        <f t="shared" si="878"/>
        <v>0</v>
      </c>
      <c r="S482" s="9">
        <f t="shared" si="878"/>
        <v>0</v>
      </c>
      <c r="T482" s="9">
        <f t="shared" si="875"/>
        <v>0</v>
      </c>
      <c r="U482" s="9">
        <f t="shared" ref="U482" si="879">U483-U478-U479-U480-U481</f>
        <v>0</v>
      </c>
      <c r="V482" s="9">
        <f>V487-V478-V479-V480-V481</f>
        <v>0</v>
      </c>
      <c r="W482" s="9">
        <f>W487-W478-W479-W480-W481</f>
        <v>0</v>
      </c>
      <c r="X482" s="9">
        <f t="shared" ref="X482:Z482" si="880">X487-X478-X479-X480-X481</f>
        <v>0</v>
      </c>
      <c r="Y482" s="9">
        <f t="shared" si="880"/>
        <v>0</v>
      </c>
      <c r="Z482" s="9">
        <f t="shared" si="880"/>
        <v>0</v>
      </c>
      <c r="AA482" s="9"/>
      <c r="AB482" s="9"/>
      <c r="AC482" s="9"/>
      <c r="AD482" s="66">
        <f t="shared" ref="AD482" si="881">AD487-AD478-AD479-AD480-AD481</f>
        <v>0</v>
      </c>
      <c r="AE482" s="9">
        <f t="shared" ref="AE482" si="882">AE487-AE478-AE479-AE480-AE481</f>
        <v>0</v>
      </c>
      <c r="AF482" s="9">
        <f t="shared" ref="AF482:AW482" si="883">AF487-AF478-AF479-AF480-AF481</f>
        <v>0</v>
      </c>
      <c r="AG482" s="9">
        <f t="shared" si="883"/>
        <v>0</v>
      </c>
      <c r="AH482" s="9">
        <f t="shared" si="883"/>
        <v>0</v>
      </c>
      <c r="AI482" s="9">
        <f t="shared" si="883"/>
        <v>0</v>
      </c>
      <c r="AJ482" s="9">
        <f t="shared" si="883"/>
        <v>0</v>
      </c>
      <c r="AK482" s="9">
        <f t="shared" si="883"/>
        <v>0</v>
      </c>
      <c r="AL482" s="9">
        <f t="shared" si="883"/>
        <v>0</v>
      </c>
      <c r="AM482" s="9">
        <f t="shared" si="883"/>
        <v>0</v>
      </c>
      <c r="AN482" s="9">
        <f t="shared" si="883"/>
        <v>0</v>
      </c>
      <c r="AO482" s="66">
        <f t="shared" si="883"/>
        <v>0</v>
      </c>
      <c r="AP482" s="66">
        <f t="shared" si="883"/>
        <v>0</v>
      </c>
      <c r="AQ482" s="66">
        <f t="shared" si="883"/>
        <v>0</v>
      </c>
      <c r="AR482" s="9">
        <f t="shared" si="883"/>
        <v>5.6843418860808015E-14</v>
      </c>
      <c r="AS482" s="9">
        <f t="shared" si="883"/>
        <v>0</v>
      </c>
      <c r="AT482" s="9">
        <f t="shared" si="883"/>
        <v>0</v>
      </c>
      <c r="AU482" s="9">
        <f t="shared" si="883"/>
        <v>0</v>
      </c>
      <c r="AV482" s="9">
        <f t="shared" si="883"/>
        <v>0</v>
      </c>
      <c r="AW482" s="9">
        <f t="shared" si="883"/>
        <v>-1.1641532182693481E-10</v>
      </c>
      <c r="AX482" s="9" t="s">
        <v>48</v>
      </c>
    </row>
    <row r="483" spans="1:52" s="5" customFormat="1" ht="30">
      <c r="A483" s="149"/>
      <c r="B483" s="133"/>
      <c r="C483" s="150"/>
      <c r="D483" s="7" t="s">
        <v>21</v>
      </c>
      <c r="E483" s="7"/>
      <c r="F483" s="7" t="s">
        <v>47</v>
      </c>
      <c r="G483" s="8" t="s">
        <v>237</v>
      </c>
      <c r="H483" s="9">
        <f t="shared" ref="H483:M483" si="884">SUM(H478:H481)</f>
        <v>0</v>
      </c>
      <c r="I483" s="9">
        <f t="shared" si="884"/>
        <v>0</v>
      </c>
      <c r="J483" s="9">
        <f t="shared" si="884"/>
        <v>0</v>
      </c>
      <c r="K483" s="9">
        <f t="shared" si="884"/>
        <v>107000</v>
      </c>
      <c r="L483" s="9">
        <f t="shared" si="884"/>
        <v>2000</v>
      </c>
      <c r="M483" s="9">
        <f t="shared" si="884"/>
        <v>109000</v>
      </c>
      <c r="N483" s="9">
        <f t="shared" ref="N483:S483" si="885">SUM(N478:N481)</f>
        <v>0</v>
      </c>
      <c r="O483" s="9">
        <f t="shared" si="885"/>
        <v>0</v>
      </c>
      <c r="P483" s="9">
        <f t="shared" si="885"/>
        <v>265000</v>
      </c>
      <c r="Q483" s="9">
        <f t="shared" si="885"/>
        <v>0</v>
      </c>
      <c r="R483" s="9">
        <f t="shared" si="885"/>
        <v>0</v>
      </c>
      <c r="S483" s="9">
        <f t="shared" si="885"/>
        <v>0</v>
      </c>
      <c r="T483" s="9">
        <f t="shared" si="875"/>
        <v>265000</v>
      </c>
      <c r="U483" s="9">
        <f t="shared" ref="U483" si="886">SUM(U478:U481)</f>
        <v>0</v>
      </c>
      <c r="V483" s="9">
        <f>SUM(V478:V482)</f>
        <v>0</v>
      </c>
      <c r="W483" s="9">
        <f t="shared" ref="W483:Z483" si="887">SUM(W478:W482)</f>
        <v>0</v>
      </c>
      <c r="X483" s="9">
        <f t="shared" si="887"/>
        <v>5805000</v>
      </c>
      <c r="Y483" s="9">
        <f t="shared" si="887"/>
        <v>0</v>
      </c>
      <c r="Z483" s="9">
        <f t="shared" si="887"/>
        <v>0</v>
      </c>
      <c r="AA483" s="9"/>
      <c r="AB483" s="9"/>
      <c r="AC483" s="9"/>
      <c r="AD483" s="66">
        <f t="shared" ref="AD483" si="888">SUM(AD478:AD482)</f>
        <v>5805000</v>
      </c>
      <c r="AE483" s="9">
        <f t="shared" ref="AE483" si="889">SUM(AE478:AE482)</f>
        <v>0</v>
      </c>
      <c r="AF483" s="9">
        <f t="shared" ref="AF483:AW483" si="890">SUM(AF478:AF482)</f>
        <v>0</v>
      </c>
      <c r="AG483" s="9">
        <f t="shared" si="890"/>
        <v>5903000</v>
      </c>
      <c r="AH483" s="9">
        <f t="shared" si="890"/>
        <v>0</v>
      </c>
      <c r="AI483" s="9">
        <f t="shared" si="890"/>
        <v>0</v>
      </c>
      <c r="AJ483" s="9">
        <f t="shared" si="890"/>
        <v>0</v>
      </c>
      <c r="AK483" s="9">
        <f t="shared" si="890"/>
        <v>0</v>
      </c>
      <c r="AL483" s="9">
        <f t="shared" si="890"/>
        <v>0</v>
      </c>
      <c r="AM483" s="9">
        <f t="shared" si="890"/>
        <v>0</v>
      </c>
      <c r="AN483" s="9">
        <f t="shared" si="890"/>
        <v>0</v>
      </c>
      <c r="AO483" s="66">
        <f t="shared" si="890"/>
        <v>5903000</v>
      </c>
      <c r="AP483" s="66">
        <f t="shared" si="890"/>
        <v>0</v>
      </c>
      <c r="AQ483" s="66">
        <f t="shared" si="890"/>
        <v>5903000</v>
      </c>
      <c r="AR483" s="9">
        <f t="shared" si="890"/>
        <v>-1260.8799999999999</v>
      </c>
      <c r="AS483" s="9">
        <f t="shared" si="890"/>
        <v>0</v>
      </c>
      <c r="AT483" s="9">
        <f t="shared" si="890"/>
        <v>0</v>
      </c>
      <c r="AU483" s="9">
        <f t="shared" si="890"/>
        <v>0</v>
      </c>
      <c r="AV483" s="9">
        <f t="shared" si="890"/>
        <v>0</v>
      </c>
      <c r="AW483" s="9">
        <f t="shared" si="890"/>
        <v>5901739.1200000001</v>
      </c>
      <c r="AX483" s="9" t="s">
        <v>48</v>
      </c>
      <c r="AY483" s="5">
        <v>5803739.1200000001</v>
      </c>
      <c r="AZ483" s="5">
        <f t="shared" si="873"/>
        <v>98000</v>
      </c>
    </row>
    <row r="484" spans="1:52" s="4" customFormat="1" ht="30">
      <c r="A484" s="149"/>
      <c r="B484" s="133"/>
      <c r="C484" s="150"/>
      <c r="D484" s="25" t="s">
        <v>22</v>
      </c>
      <c r="E484" s="25">
        <v>6001</v>
      </c>
      <c r="F484" s="37" t="s">
        <v>44</v>
      </c>
      <c r="G484" s="37" t="s">
        <v>237</v>
      </c>
      <c r="H484" s="26"/>
      <c r="I484" s="26"/>
      <c r="J484" s="26"/>
      <c r="K484" s="26"/>
      <c r="L484" s="26"/>
      <c r="M484" s="26"/>
      <c r="N484" s="26"/>
      <c r="O484" s="26">
        <f t="shared" ref="O484:O486" si="891">H484+N484</f>
        <v>0</v>
      </c>
      <c r="P484" s="26">
        <v>223000</v>
      </c>
      <c r="Q484" s="26"/>
      <c r="R484" s="26"/>
      <c r="S484" s="26"/>
      <c r="T484" s="26">
        <f t="shared" si="875"/>
        <v>223000</v>
      </c>
      <c r="U484" s="26">
        <v>0</v>
      </c>
      <c r="V484" s="26">
        <f t="shared" ref="V484:V486" si="892">O484+U484</f>
        <v>0</v>
      </c>
      <c r="W484" s="26"/>
      <c r="X484" s="26">
        <v>4878000</v>
      </c>
      <c r="Y484" s="26"/>
      <c r="Z484" s="26"/>
      <c r="AA484" s="26"/>
      <c r="AB484" s="26"/>
      <c r="AC484" s="26"/>
      <c r="AD484" s="67">
        <f t="shared" ref="AD484:AD486" si="893">SUM(W484:Z484)</f>
        <v>4878000</v>
      </c>
      <c r="AE484" s="26"/>
      <c r="AF484" s="26">
        <f t="shared" ref="AF484:AF486" si="894">V484+AE484</f>
        <v>0</v>
      </c>
      <c r="AG484" s="26">
        <f>4877091.7+908.3</f>
        <v>4878000</v>
      </c>
      <c r="AH484" s="26"/>
      <c r="AI484" s="26"/>
      <c r="AJ484" s="26"/>
      <c r="AK484" s="26"/>
      <c r="AL484" s="26"/>
      <c r="AM484" s="26"/>
      <c r="AN484" s="26"/>
      <c r="AO484" s="67">
        <f t="shared" si="841"/>
        <v>4878000</v>
      </c>
      <c r="AP484" s="67">
        <f t="shared" si="842"/>
        <v>0</v>
      </c>
      <c r="AQ484" s="67">
        <f t="shared" si="843"/>
        <v>4878000</v>
      </c>
      <c r="AR484" s="26">
        <v>-908.3</v>
      </c>
      <c r="AS484" s="26"/>
      <c r="AT484" s="26"/>
      <c r="AU484" s="26"/>
      <c r="AV484" s="26"/>
      <c r="AW484" s="26">
        <f t="shared" si="844"/>
        <v>4877091.7</v>
      </c>
      <c r="AX484" s="26" t="s">
        <v>48</v>
      </c>
      <c r="AY484" s="4">
        <v>4877091.7</v>
      </c>
      <c r="AZ484" s="4">
        <f t="shared" si="873"/>
        <v>0</v>
      </c>
    </row>
    <row r="485" spans="1:52" s="4" customFormat="1" ht="30">
      <c r="A485" s="149"/>
      <c r="B485" s="133"/>
      <c r="C485" s="150"/>
      <c r="D485" s="25" t="s">
        <v>22</v>
      </c>
      <c r="E485" s="25">
        <v>6002</v>
      </c>
      <c r="F485" s="37" t="s">
        <v>45</v>
      </c>
      <c r="G485" s="37" t="s">
        <v>237</v>
      </c>
      <c r="H485" s="26"/>
      <c r="I485" s="26"/>
      <c r="J485" s="26"/>
      <c r="K485" s="26"/>
      <c r="L485" s="26"/>
      <c r="M485" s="26"/>
      <c r="N485" s="26"/>
      <c r="O485" s="26">
        <f t="shared" si="891"/>
        <v>0</v>
      </c>
      <c r="P485" s="26">
        <f>P317</f>
        <v>268000.00000000035</v>
      </c>
      <c r="Q485" s="26"/>
      <c r="R485" s="26"/>
      <c r="S485" s="26"/>
      <c r="T485" s="26">
        <f t="shared" si="875"/>
        <v>268000.00000000035</v>
      </c>
      <c r="U485" s="26">
        <v>0</v>
      </c>
      <c r="V485" s="26">
        <f t="shared" si="892"/>
        <v>0</v>
      </c>
      <c r="W485" s="26"/>
      <c r="X485" s="26"/>
      <c r="Y485" s="26"/>
      <c r="Z485" s="26"/>
      <c r="AA485" s="26"/>
      <c r="AB485" s="26"/>
      <c r="AC485" s="26"/>
      <c r="AD485" s="67">
        <f t="shared" si="893"/>
        <v>0</v>
      </c>
      <c r="AE485" s="26"/>
      <c r="AF485" s="26">
        <f t="shared" si="894"/>
        <v>0</v>
      </c>
      <c r="AG485" s="26"/>
      <c r="AH485" s="26"/>
      <c r="AI485" s="26"/>
      <c r="AJ485" s="26"/>
      <c r="AK485" s="26"/>
      <c r="AL485" s="26"/>
      <c r="AM485" s="26"/>
      <c r="AN485" s="26"/>
      <c r="AO485" s="67">
        <f t="shared" si="841"/>
        <v>0</v>
      </c>
      <c r="AP485" s="67">
        <f t="shared" si="842"/>
        <v>0</v>
      </c>
      <c r="AQ485" s="67">
        <f t="shared" si="843"/>
        <v>0</v>
      </c>
      <c r="AR485" s="26"/>
      <c r="AS485" s="26"/>
      <c r="AT485" s="26"/>
      <c r="AU485" s="26"/>
      <c r="AV485" s="26"/>
      <c r="AW485" s="26">
        <f t="shared" si="844"/>
        <v>0</v>
      </c>
      <c r="AX485" s="26" t="s">
        <v>48</v>
      </c>
      <c r="AY485" s="4">
        <v>0</v>
      </c>
      <c r="AZ485" s="4">
        <f t="shared" si="873"/>
        <v>0</v>
      </c>
    </row>
    <row r="486" spans="1:52" s="4" customFormat="1" ht="30">
      <c r="A486" s="149"/>
      <c r="B486" s="133"/>
      <c r="C486" s="150"/>
      <c r="D486" s="25" t="s">
        <v>22</v>
      </c>
      <c r="E486" s="25">
        <v>6003</v>
      </c>
      <c r="F486" s="37" t="s">
        <v>46</v>
      </c>
      <c r="G486" s="37" t="s">
        <v>237</v>
      </c>
      <c r="H486" s="26"/>
      <c r="I486" s="26"/>
      <c r="J486" s="26"/>
      <c r="K486" s="26"/>
      <c r="L486" s="26"/>
      <c r="M486" s="26">
        <f t="shared" ref="M486" si="895">SUM(I486:L486)</f>
        <v>0</v>
      </c>
      <c r="N486" s="26"/>
      <c r="O486" s="26">
        <f t="shared" si="891"/>
        <v>0</v>
      </c>
      <c r="P486" s="26">
        <v>42000</v>
      </c>
      <c r="Q486" s="26"/>
      <c r="R486" s="26"/>
      <c r="S486" s="26"/>
      <c r="T486" s="26">
        <f t="shared" si="875"/>
        <v>42000</v>
      </c>
      <c r="U486" s="26">
        <v>0</v>
      </c>
      <c r="V486" s="26">
        <f t="shared" si="892"/>
        <v>0</v>
      </c>
      <c r="W486" s="26"/>
      <c r="X486" s="26">
        <v>927000</v>
      </c>
      <c r="Y486" s="26"/>
      <c r="Z486" s="26"/>
      <c r="AA486" s="26"/>
      <c r="AB486" s="26"/>
      <c r="AC486" s="26"/>
      <c r="AD486" s="67">
        <f t="shared" si="893"/>
        <v>927000</v>
      </c>
      <c r="AE486" s="26"/>
      <c r="AF486" s="26">
        <f t="shared" si="894"/>
        <v>0</v>
      </c>
      <c r="AG486" s="26">
        <f>926647.42+352.58+98000</f>
        <v>1025000</v>
      </c>
      <c r="AH486" s="26"/>
      <c r="AI486" s="26"/>
      <c r="AJ486" s="26"/>
      <c r="AK486" s="26"/>
      <c r="AL486" s="26"/>
      <c r="AM486" s="26"/>
      <c r="AN486" s="26"/>
      <c r="AO486" s="67">
        <f t="shared" si="841"/>
        <v>1025000</v>
      </c>
      <c r="AP486" s="67">
        <f t="shared" si="842"/>
        <v>0</v>
      </c>
      <c r="AQ486" s="67">
        <f t="shared" si="843"/>
        <v>1025000</v>
      </c>
      <c r="AR486" s="26">
        <v>-352.58</v>
      </c>
      <c r="AS486" s="26"/>
      <c r="AT486" s="26"/>
      <c r="AU486" s="26"/>
      <c r="AV486" s="26"/>
      <c r="AW486" s="26">
        <f t="shared" si="844"/>
        <v>1024647.42</v>
      </c>
      <c r="AX486" s="26" t="s">
        <v>48</v>
      </c>
      <c r="AY486" s="4">
        <v>926647.42</v>
      </c>
      <c r="AZ486" s="4">
        <f t="shared" si="873"/>
        <v>98000</v>
      </c>
    </row>
    <row r="487" spans="1:52" s="4" customFormat="1" ht="30">
      <c r="A487" s="149"/>
      <c r="B487" s="133"/>
      <c r="C487" s="150"/>
      <c r="D487" s="25" t="s">
        <v>22</v>
      </c>
      <c r="E487" s="25"/>
      <c r="F487" s="25" t="s">
        <v>29</v>
      </c>
      <c r="G487" s="37" t="s">
        <v>237</v>
      </c>
      <c r="H487" s="26">
        <f>SUM(H484:H486)</f>
        <v>0</v>
      </c>
      <c r="I487" s="26">
        <f t="shared" ref="I487:S487" si="896">SUM(I484:I486)</f>
        <v>0</v>
      </c>
      <c r="J487" s="26">
        <f t="shared" si="896"/>
        <v>0</v>
      </c>
      <c r="K487" s="26">
        <f t="shared" si="896"/>
        <v>0</v>
      </c>
      <c r="L487" s="26">
        <f t="shared" si="896"/>
        <v>0</v>
      </c>
      <c r="M487" s="26">
        <f t="shared" si="896"/>
        <v>0</v>
      </c>
      <c r="N487" s="26">
        <f t="shared" si="896"/>
        <v>0</v>
      </c>
      <c r="O487" s="26">
        <f t="shared" si="896"/>
        <v>0</v>
      </c>
      <c r="P487" s="26">
        <f t="shared" si="896"/>
        <v>533000.00000000035</v>
      </c>
      <c r="Q487" s="26">
        <f t="shared" si="896"/>
        <v>0</v>
      </c>
      <c r="R487" s="26">
        <f t="shared" si="896"/>
        <v>0</v>
      </c>
      <c r="S487" s="26">
        <f t="shared" si="896"/>
        <v>0</v>
      </c>
      <c r="T487" s="26">
        <f t="shared" si="875"/>
        <v>533000.00000000035</v>
      </c>
      <c r="U487" s="26">
        <f t="shared" ref="U487" si="897">SUM(U484:U486)</f>
        <v>0</v>
      </c>
      <c r="V487" s="26">
        <f>SUM(V484:V486)</f>
        <v>0</v>
      </c>
      <c r="W487" s="26">
        <f t="shared" ref="W487:Z487" si="898">SUM(W484:W486)</f>
        <v>0</v>
      </c>
      <c r="X487" s="26">
        <f t="shared" si="898"/>
        <v>5805000</v>
      </c>
      <c r="Y487" s="26">
        <f t="shared" si="898"/>
        <v>0</v>
      </c>
      <c r="Z487" s="26">
        <f t="shared" si="898"/>
        <v>0</v>
      </c>
      <c r="AA487" s="26"/>
      <c r="AB487" s="26"/>
      <c r="AC487" s="26"/>
      <c r="AD487" s="67">
        <f t="shared" ref="AD487:AW487" si="899">SUM(AD484:AD486)</f>
        <v>5805000</v>
      </c>
      <c r="AE487" s="26">
        <f t="shared" si="899"/>
        <v>0</v>
      </c>
      <c r="AF487" s="26">
        <f t="shared" si="899"/>
        <v>0</v>
      </c>
      <c r="AG487" s="26">
        <f t="shared" si="899"/>
        <v>5903000</v>
      </c>
      <c r="AH487" s="26">
        <f t="shared" si="899"/>
        <v>0</v>
      </c>
      <c r="AI487" s="26">
        <f t="shared" si="899"/>
        <v>0</v>
      </c>
      <c r="AJ487" s="26">
        <f t="shared" si="899"/>
        <v>0</v>
      </c>
      <c r="AK487" s="26">
        <f t="shared" si="899"/>
        <v>0</v>
      </c>
      <c r="AL487" s="26">
        <f t="shared" si="899"/>
        <v>0</v>
      </c>
      <c r="AM487" s="26">
        <f t="shared" si="899"/>
        <v>0</v>
      </c>
      <c r="AN487" s="26">
        <f t="shared" si="899"/>
        <v>0</v>
      </c>
      <c r="AO487" s="67">
        <f t="shared" si="899"/>
        <v>5903000</v>
      </c>
      <c r="AP487" s="67">
        <f t="shared" si="899"/>
        <v>0</v>
      </c>
      <c r="AQ487" s="67">
        <f t="shared" si="899"/>
        <v>5903000</v>
      </c>
      <c r="AR487" s="26">
        <f t="shared" si="899"/>
        <v>-1260.8799999999999</v>
      </c>
      <c r="AS487" s="26">
        <f t="shared" si="899"/>
        <v>0</v>
      </c>
      <c r="AT487" s="26">
        <f t="shared" si="899"/>
        <v>0</v>
      </c>
      <c r="AU487" s="26">
        <f t="shared" si="899"/>
        <v>0</v>
      </c>
      <c r="AV487" s="26">
        <f t="shared" si="899"/>
        <v>0</v>
      </c>
      <c r="AW487" s="26">
        <f t="shared" si="899"/>
        <v>5901739.1200000001</v>
      </c>
      <c r="AX487" s="26" t="s">
        <v>48</v>
      </c>
      <c r="AY487" s="4">
        <v>5803739.1200000001</v>
      </c>
      <c r="AZ487" s="4">
        <f t="shared" si="873"/>
        <v>98000</v>
      </c>
    </row>
    <row r="488" spans="1:52" s="22" customFormat="1" ht="31.5">
      <c r="A488" s="45" t="s">
        <v>99</v>
      </c>
      <c r="B488" s="45"/>
      <c r="C488" s="18"/>
      <c r="D488" s="18"/>
      <c r="E488" s="19"/>
      <c r="F488" s="19"/>
      <c r="G488" s="17"/>
      <c r="H488" s="20"/>
      <c r="I488" s="20"/>
      <c r="J488" s="20"/>
      <c r="K488" s="20"/>
      <c r="L488" s="20"/>
      <c r="M488" s="46"/>
      <c r="N488" s="46"/>
      <c r="O488" s="46"/>
      <c r="P488" s="46"/>
      <c r="Q488" s="46"/>
      <c r="R488" s="46"/>
      <c r="S488" s="46"/>
      <c r="T488" s="20"/>
      <c r="U488" s="46"/>
      <c r="V488" s="46"/>
      <c r="W488" s="46"/>
      <c r="X488" s="46"/>
      <c r="Y488" s="46"/>
      <c r="Z488" s="46"/>
      <c r="AA488" s="46"/>
      <c r="AB488" s="46"/>
      <c r="AC488" s="46"/>
      <c r="AD488" s="65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65">
        <f t="shared" si="841"/>
        <v>0</v>
      </c>
      <c r="AP488" s="65">
        <f t="shared" si="842"/>
        <v>0</v>
      </c>
      <c r="AQ488" s="65">
        <f t="shared" si="843"/>
        <v>0</v>
      </c>
      <c r="AR488" s="20"/>
      <c r="AS488" s="20"/>
      <c r="AT488" s="20"/>
      <c r="AU488" s="20"/>
      <c r="AV488" s="20"/>
      <c r="AW488" s="46">
        <f t="shared" si="844"/>
        <v>0</v>
      </c>
      <c r="AX488" s="17"/>
      <c r="AZ488" s="22">
        <f t="shared" si="815"/>
        <v>0</v>
      </c>
    </row>
    <row r="489" spans="1:52" s="5" customFormat="1">
      <c r="A489" s="167"/>
      <c r="B489" s="133"/>
      <c r="C489" s="150"/>
      <c r="D489" s="6"/>
      <c r="E489" s="7"/>
      <c r="F489" s="8"/>
      <c r="G489" s="8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66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66">
        <f t="shared" si="841"/>
        <v>0</v>
      </c>
      <c r="AP489" s="66">
        <f t="shared" si="842"/>
        <v>0</v>
      </c>
      <c r="AQ489" s="66">
        <f t="shared" si="843"/>
        <v>0</v>
      </c>
      <c r="AR489" s="9"/>
      <c r="AS489" s="9"/>
      <c r="AT489" s="9"/>
      <c r="AU489" s="9"/>
      <c r="AV489" s="9"/>
      <c r="AW489" s="9">
        <f t="shared" si="844"/>
        <v>0</v>
      </c>
      <c r="AX489" s="10"/>
      <c r="AZ489" s="11"/>
    </row>
    <row r="490" spans="1:52" s="5" customFormat="1">
      <c r="A490" s="167"/>
      <c r="B490" s="133"/>
      <c r="C490" s="150"/>
      <c r="D490" s="6"/>
      <c r="E490" s="7"/>
      <c r="F490" s="8"/>
      <c r="G490" s="8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66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66">
        <f t="shared" si="841"/>
        <v>0</v>
      </c>
      <c r="AP490" s="66">
        <f t="shared" si="842"/>
        <v>0</v>
      </c>
      <c r="AQ490" s="66">
        <f t="shared" si="843"/>
        <v>0</v>
      </c>
      <c r="AR490" s="9"/>
      <c r="AS490" s="9"/>
      <c r="AT490" s="9"/>
      <c r="AU490" s="9"/>
      <c r="AV490" s="9"/>
      <c r="AW490" s="9">
        <f t="shared" si="844"/>
        <v>0</v>
      </c>
      <c r="AX490" s="10"/>
      <c r="AZ490" s="11"/>
    </row>
    <row r="491" spans="1:52" s="5" customFormat="1">
      <c r="A491" s="167"/>
      <c r="B491" s="133"/>
      <c r="C491" s="150"/>
      <c r="D491" s="6"/>
      <c r="E491" s="7"/>
      <c r="F491" s="8"/>
      <c r="G491" s="8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66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66">
        <f t="shared" si="841"/>
        <v>0</v>
      </c>
      <c r="AP491" s="66">
        <f t="shared" si="842"/>
        <v>0</v>
      </c>
      <c r="AQ491" s="66">
        <f t="shared" si="843"/>
        <v>0</v>
      </c>
      <c r="AR491" s="9"/>
      <c r="AS491" s="9"/>
      <c r="AT491" s="9"/>
      <c r="AU491" s="9"/>
      <c r="AV491" s="9"/>
      <c r="AW491" s="9">
        <f t="shared" si="844"/>
        <v>0</v>
      </c>
      <c r="AX491" s="10"/>
      <c r="AZ491" s="11"/>
    </row>
    <row r="492" spans="1:52" s="5" customFormat="1">
      <c r="A492" s="167"/>
      <c r="B492" s="133"/>
      <c r="C492" s="150"/>
      <c r="D492" s="6"/>
      <c r="E492" s="7"/>
      <c r="F492" s="8"/>
      <c r="G492" s="8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66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66">
        <f t="shared" si="841"/>
        <v>0</v>
      </c>
      <c r="AP492" s="66">
        <f t="shared" si="842"/>
        <v>0</v>
      </c>
      <c r="AQ492" s="66">
        <f t="shared" si="843"/>
        <v>0</v>
      </c>
      <c r="AR492" s="9"/>
      <c r="AS492" s="9"/>
      <c r="AT492" s="9"/>
      <c r="AU492" s="9"/>
      <c r="AV492" s="9"/>
      <c r="AW492" s="9">
        <f t="shared" si="844"/>
        <v>0</v>
      </c>
      <c r="AX492" s="10"/>
      <c r="AZ492" s="11"/>
    </row>
    <row r="493" spans="1:52" s="5" customFormat="1">
      <c r="A493" s="167"/>
      <c r="B493" s="133"/>
      <c r="C493" s="150"/>
      <c r="D493" s="6"/>
      <c r="E493" s="7"/>
      <c r="F493" s="8"/>
      <c r="G493" s="8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66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66">
        <f t="shared" si="841"/>
        <v>0</v>
      </c>
      <c r="AP493" s="66">
        <f t="shared" si="842"/>
        <v>0</v>
      </c>
      <c r="AQ493" s="66">
        <f t="shared" si="843"/>
        <v>0</v>
      </c>
      <c r="AR493" s="9"/>
      <c r="AS493" s="9"/>
      <c r="AT493" s="9"/>
      <c r="AU493" s="9"/>
      <c r="AV493" s="9"/>
      <c r="AW493" s="9">
        <f t="shared" si="844"/>
        <v>0</v>
      </c>
      <c r="AX493" s="10"/>
    </row>
    <row r="494" spans="1:52" s="5" customFormat="1">
      <c r="A494" s="167"/>
      <c r="B494" s="133"/>
      <c r="C494" s="150"/>
      <c r="D494" s="6"/>
      <c r="E494" s="7"/>
      <c r="F494" s="8"/>
      <c r="G494" s="8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66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66">
        <f t="shared" si="841"/>
        <v>0</v>
      </c>
      <c r="AP494" s="66">
        <f t="shared" si="842"/>
        <v>0</v>
      </c>
      <c r="AQ494" s="66">
        <f t="shared" si="843"/>
        <v>0</v>
      </c>
      <c r="AR494" s="9"/>
      <c r="AS494" s="9"/>
      <c r="AT494" s="9"/>
      <c r="AU494" s="9"/>
      <c r="AV494" s="9"/>
      <c r="AW494" s="9">
        <f t="shared" si="844"/>
        <v>0</v>
      </c>
      <c r="AX494" s="10"/>
    </row>
    <row r="495" spans="1:52" s="4" customFormat="1">
      <c r="A495" s="167"/>
      <c r="B495" s="133"/>
      <c r="C495" s="150"/>
      <c r="D495" s="24"/>
      <c r="E495" s="25"/>
      <c r="F495" s="37"/>
      <c r="G495" s="37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67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67">
        <f t="shared" si="841"/>
        <v>0</v>
      </c>
      <c r="AP495" s="67">
        <f t="shared" si="842"/>
        <v>0</v>
      </c>
      <c r="AQ495" s="67">
        <f t="shared" si="843"/>
        <v>0</v>
      </c>
      <c r="AR495" s="26"/>
      <c r="AS495" s="26"/>
      <c r="AT495" s="26"/>
      <c r="AU495" s="26"/>
      <c r="AV495" s="26"/>
      <c r="AW495" s="26">
        <f t="shared" si="844"/>
        <v>0</v>
      </c>
      <c r="AX495" s="14"/>
    </row>
    <row r="496" spans="1:52" s="4" customFormat="1">
      <c r="A496" s="167"/>
      <c r="B496" s="133"/>
      <c r="C496" s="150"/>
      <c r="D496" s="24"/>
      <c r="E496" s="25"/>
      <c r="F496" s="37"/>
      <c r="G496" s="37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67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67">
        <f t="shared" si="841"/>
        <v>0</v>
      </c>
      <c r="AP496" s="67">
        <f t="shared" si="842"/>
        <v>0</v>
      </c>
      <c r="AQ496" s="67">
        <f t="shared" si="843"/>
        <v>0</v>
      </c>
      <c r="AR496" s="26"/>
      <c r="AS496" s="26"/>
      <c r="AT496" s="26"/>
      <c r="AU496" s="26"/>
      <c r="AV496" s="26"/>
      <c r="AW496" s="26">
        <f t="shared" si="844"/>
        <v>0</v>
      </c>
      <c r="AX496" s="14"/>
    </row>
    <row r="497" spans="1:52" s="4" customFormat="1">
      <c r="A497" s="167"/>
      <c r="B497" s="133"/>
      <c r="C497" s="150"/>
      <c r="D497" s="24"/>
      <c r="E497" s="25"/>
      <c r="F497" s="37"/>
      <c r="G497" s="37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67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67">
        <f t="shared" si="841"/>
        <v>0</v>
      </c>
      <c r="AP497" s="67">
        <f t="shared" si="842"/>
        <v>0</v>
      </c>
      <c r="AQ497" s="67">
        <f t="shared" si="843"/>
        <v>0</v>
      </c>
      <c r="AR497" s="26"/>
      <c r="AS497" s="26"/>
      <c r="AT497" s="26"/>
      <c r="AU497" s="26"/>
      <c r="AV497" s="26"/>
      <c r="AW497" s="26">
        <f t="shared" si="844"/>
        <v>0</v>
      </c>
      <c r="AX497" s="14"/>
    </row>
    <row r="498" spans="1:52" s="5" customFormat="1">
      <c r="A498" s="132" t="s">
        <v>271</v>
      </c>
      <c r="B498" s="133" t="s">
        <v>56</v>
      </c>
      <c r="C498" s="150">
        <v>84</v>
      </c>
      <c r="D498" s="6" t="s">
        <v>21</v>
      </c>
      <c r="E498" s="7"/>
      <c r="F498" s="8" t="s">
        <v>57</v>
      </c>
      <c r="G498" s="8">
        <v>148339</v>
      </c>
      <c r="H498" s="9">
        <v>61097.91</v>
      </c>
      <c r="I498" s="9">
        <v>413888</v>
      </c>
      <c r="J498" s="9">
        <v>28230630</v>
      </c>
      <c r="K498" s="9">
        <v>31142707</v>
      </c>
      <c r="L498" s="9">
        <v>57360034.140000001</v>
      </c>
      <c r="M498" s="9">
        <f t="shared" ref="M498:M500" si="900">SUM(I498:L498)</f>
        <v>117147259.14</v>
      </c>
      <c r="N498" s="9">
        <f>23242699.24-H498</f>
        <v>23181601.329999998</v>
      </c>
      <c r="O498" s="9">
        <f>H498+N498</f>
        <v>23242699.239999998</v>
      </c>
      <c r="P498" s="9">
        <f>7676483.86-343198.05-7333286</f>
        <v>-0.18999999947845936</v>
      </c>
      <c r="Q498" s="9"/>
      <c r="R498" s="9"/>
      <c r="S498" s="9"/>
      <c r="T498" s="9">
        <f t="shared" ref="T498:T501" si="901">SUM(P498:S498)</f>
        <v>-0.18999999947845936</v>
      </c>
      <c r="U498" s="9">
        <f>204523.02+7323458.19</f>
        <v>7527981.21</v>
      </c>
      <c r="V498" s="9">
        <f t="shared" ref="V498:V500" si="902">O498+U498</f>
        <v>30770680.449999999</v>
      </c>
      <c r="W498" s="9"/>
      <c r="X498" s="9"/>
      <c r="Y498" s="9"/>
      <c r="Z498" s="9"/>
      <c r="AA498" s="9"/>
      <c r="AB498" s="9"/>
      <c r="AC498" s="9"/>
      <c r="AD498" s="66">
        <f t="shared" si="693"/>
        <v>0</v>
      </c>
      <c r="AE498" s="9"/>
      <c r="AF498" s="9">
        <f t="shared" ref="AF498:AF500" si="903">V498+AE498</f>
        <v>30770680.449999999</v>
      </c>
      <c r="AG498" s="9"/>
      <c r="AH498" s="9"/>
      <c r="AI498" s="9"/>
      <c r="AJ498" s="9"/>
      <c r="AK498" s="9"/>
      <c r="AL498" s="9"/>
      <c r="AM498" s="9"/>
      <c r="AN498" s="9"/>
      <c r="AO498" s="66">
        <f t="shared" si="841"/>
        <v>0</v>
      </c>
      <c r="AP498" s="66">
        <f t="shared" si="842"/>
        <v>0</v>
      </c>
      <c r="AQ498" s="66">
        <f t="shared" si="843"/>
        <v>0</v>
      </c>
      <c r="AR498" s="9"/>
      <c r="AS498" s="9"/>
      <c r="AT498" s="9"/>
      <c r="AU498" s="9"/>
      <c r="AV498" s="9"/>
      <c r="AW498" s="9">
        <f t="shared" si="844"/>
        <v>30770680.449999999</v>
      </c>
      <c r="AX498" s="10" t="s">
        <v>32</v>
      </c>
      <c r="AY498" s="5">
        <v>30770680.449999999</v>
      </c>
      <c r="AZ498" s="11">
        <f t="shared" si="815"/>
        <v>0</v>
      </c>
    </row>
    <row r="499" spans="1:52" s="5" customFormat="1" ht="33" customHeight="1">
      <c r="A499" s="132"/>
      <c r="B499" s="133"/>
      <c r="C499" s="150"/>
      <c r="D499" s="6" t="s">
        <v>21</v>
      </c>
      <c r="E499" s="7"/>
      <c r="F499" s="8" t="s">
        <v>74</v>
      </c>
      <c r="G499" s="8">
        <v>148339</v>
      </c>
      <c r="H499" s="9">
        <v>20439.28</v>
      </c>
      <c r="I499" s="9">
        <v>63301</v>
      </c>
      <c r="J499" s="9">
        <v>10628002</v>
      </c>
      <c r="K499" s="9">
        <v>11724313</v>
      </c>
      <c r="L499" s="9">
        <v>21686881.559999999</v>
      </c>
      <c r="M499" s="9">
        <f t="shared" si="900"/>
        <v>44102497.560000002</v>
      </c>
      <c r="N499" s="9">
        <f>8646284.08-H499</f>
        <v>8625844.8000000007</v>
      </c>
      <c r="O499" s="9">
        <f t="shared" ref="O499:O500" si="904">H499+N499</f>
        <v>8646284.0800000001</v>
      </c>
      <c r="P499" s="9">
        <f>47659406.7-406.7</f>
        <v>47659000</v>
      </c>
      <c r="Q499" s="9">
        <f>26123825.66+406.7-232.36</f>
        <v>26124000</v>
      </c>
      <c r="R499" s="9">
        <f>39469131.76+232.36-364.12-65308.14-4072692</f>
        <v>35330999.859999999</v>
      </c>
      <c r="S499" s="9"/>
      <c r="T499" s="9">
        <f t="shared" si="901"/>
        <v>109113999.86</v>
      </c>
      <c r="U499" s="9">
        <f>33983.13+2702216.79</f>
        <v>2736199.92</v>
      </c>
      <c r="V499" s="9">
        <f t="shared" si="902"/>
        <v>11382484</v>
      </c>
      <c r="W499" s="9">
        <v>101554000</v>
      </c>
      <c r="X499" s="9"/>
      <c r="Y499" s="9"/>
      <c r="Z499" s="9"/>
      <c r="AA499" s="9"/>
      <c r="AB499" s="9"/>
      <c r="AC499" s="9"/>
      <c r="AD499" s="66">
        <f t="shared" si="693"/>
        <v>101554000</v>
      </c>
      <c r="AE499" s="9">
        <v>91230588.760000005</v>
      </c>
      <c r="AF499" s="9">
        <f t="shared" si="903"/>
        <v>102613072.76000001</v>
      </c>
      <c r="AG499" s="9">
        <f>318916.84+83.16</f>
        <v>319000</v>
      </c>
      <c r="AH499" s="9"/>
      <c r="AI499" s="9"/>
      <c r="AJ499" s="9"/>
      <c r="AK499" s="9"/>
      <c r="AL499" s="9"/>
      <c r="AM499" s="9"/>
      <c r="AN499" s="9"/>
      <c r="AO499" s="66">
        <f t="shared" si="841"/>
        <v>319000</v>
      </c>
      <c r="AP499" s="66">
        <f t="shared" si="842"/>
        <v>0</v>
      </c>
      <c r="AQ499" s="66">
        <f t="shared" si="843"/>
        <v>319000</v>
      </c>
      <c r="AR499" s="9">
        <v>-83.16</v>
      </c>
      <c r="AS499" s="9"/>
      <c r="AT499" s="9"/>
      <c r="AU499" s="9"/>
      <c r="AV499" s="9"/>
      <c r="AW499" s="9">
        <f t="shared" si="844"/>
        <v>102931989.60000001</v>
      </c>
      <c r="AX499" s="10" t="s">
        <v>32</v>
      </c>
      <c r="AY499" s="5">
        <v>80483948.289999992</v>
      </c>
      <c r="AZ499" s="11">
        <f t="shared" si="815"/>
        <v>22448041.310000017</v>
      </c>
    </row>
    <row r="500" spans="1:52" s="5" customFormat="1" ht="33" customHeight="1">
      <c r="A500" s="132"/>
      <c r="B500" s="133"/>
      <c r="C500" s="150"/>
      <c r="D500" s="6" t="s">
        <v>21</v>
      </c>
      <c r="E500" s="7"/>
      <c r="F500" s="8" t="s">
        <v>84</v>
      </c>
      <c r="G500" s="8">
        <v>148339</v>
      </c>
      <c r="H500" s="9">
        <f>H151</f>
        <v>1362.03</v>
      </c>
      <c r="I500" s="9">
        <f>I151</f>
        <v>2677000</v>
      </c>
      <c r="J500" s="9">
        <f>J151</f>
        <v>0</v>
      </c>
      <c r="K500" s="9">
        <f>K151</f>
        <v>0</v>
      </c>
      <c r="L500" s="9">
        <f>L151</f>
        <v>0</v>
      </c>
      <c r="M500" s="9">
        <f t="shared" si="900"/>
        <v>2677000</v>
      </c>
      <c r="N500" s="9">
        <f>N150</f>
        <v>544707</v>
      </c>
      <c r="O500" s="9">
        <f t="shared" si="904"/>
        <v>546069.03</v>
      </c>
      <c r="P500" s="9">
        <f>P150</f>
        <v>768000</v>
      </c>
      <c r="Q500" s="9">
        <f>Q150</f>
        <v>447000</v>
      </c>
      <c r="R500" s="9">
        <f>R150</f>
        <v>842000</v>
      </c>
      <c r="S500" s="9">
        <f>S150</f>
        <v>0</v>
      </c>
      <c r="T500" s="9">
        <f t="shared" si="901"/>
        <v>2057000</v>
      </c>
      <c r="U500" s="9">
        <f>U150</f>
        <v>1043464.96</v>
      </c>
      <c r="V500" s="9">
        <f t="shared" si="902"/>
        <v>1589533.99</v>
      </c>
      <c r="W500" s="9">
        <f t="shared" ref="W500:Z500" si="905">W150</f>
        <v>1734000</v>
      </c>
      <c r="X500" s="9">
        <f t="shared" si="905"/>
        <v>0</v>
      </c>
      <c r="Y500" s="9">
        <f t="shared" si="905"/>
        <v>0</v>
      </c>
      <c r="Z500" s="9">
        <f t="shared" si="905"/>
        <v>0</v>
      </c>
      <c r="AA500" s="9"/>
      <c r="AB500" s="9"/>
      <c r="AC500" s="9"/>
      <c r="AD500" s="66">
        <f t="shared" si="693"/>
        <v>1734000</v>
      </c>
      <c r="AE500" s="9">
        <f t="shared" ref="AE500" si="906">AE150</f>
        <v>1559078.62</v>
      </c>
      <c r="AF500" s="9">
        <f t="shared" si="903"/>
        <v>3148612.6100000003</v>
      </c>
      <c r="AG500" s="9">
        <f>AG151</f>
        <v>6000</v>
      </c>
      <c r="AH500" s="9">
        <f t="shared" ref="AH500:AN500" si="907">AH151</f>
        <v>0</v>
      </c>
      <c r="AI500" s="9">
        <f t="shared" si="907"/>
        <v>0</v>
      </c>
      <c r="AJ500" s="9">
        <f t="shared" si="907"/>
        <v>0</v>
      </c>
      <c r="AK500" s="9">
        <f t="shared" si="907"/>
        <v>0</v>
      </c>
      <c r="AL500" s="9">
        <f t="shared" si="907"/>
        <v>0</v>
      </c>
      <c r="AM500" s="9">
        <f t="shared" si="907"/>
        <v>0</v>
      </c>
      <c r="AN500" s="9">
        <f t="shared" si="907"/>
        <v>0</v>
      </c>
      <c r="AO500" s="66">
        <f t="shared" si="841"/>
        <v>6000</v>
      </c>
      <c r="AP500" s="66">
        <f t="shared" si="842"/>
        <v>0</v>
      </c>
      <c r="AQ500" s="66">
        <f t="shared" si="843"/>
        <v>6000</v>
      </c>
      <c r="AR500" s="9">
        <f t="shared" ref="AR500" si="908">AR151</f>
        <v>-320.61</v>
      </c>
      <c r="AS500" s="9">
        <f t="shared" ref="AS500:AV500" si="909">AS150</f>
        <v>0</v>
      </c>
      <c r="AT500" s="9">
        <f t="shared" si="909"/>
        <v>0</v>
      </c>
      <c r="AU500" s="9">
        <f t="shared" si="909"/>
        <v>0</v>
      </c>
      <c r="AV500" s="9">
        <f t="shared" si="909"/>
        <v>0</v>
      </c>
      <c r="AW500" s="9">
        <f t="shared" si="844"/>
        <v>3154292.0000000005</v>
      </c>
      <c r="AX500" s="10" t="s">
        <v>32</v>
      </c>
      <c r="AY500" s="5">
        <v>2608814.27</v>
      </c>
      <c r="AZ500" s="5">
        <f t="shared" si="815"/>
        <v>545477.73000000045</v>
      </c>
    </row>
    <row r="501" spans="1:52" s="5" customFormat="1" ht="105">
      <c r="A501" s="132"/>
      <c r="B501" s="133"/>
      <c r="C501" s="150"/>
      <c r="D501" s="6" t="s">
        <v>21</v>
      </c>
      <c r="E501" s="7"/>
      <c r="F501" s="8" t="s">
        <v>124</v>
      </c>
      <c r="G501" s="8">
        <v>148339</v>
      </c>
      <c r="H501" s="9">
        <f>H505-H498-H499-H500</f>
        <v>234127.44999999998</v>
      </c>
      <c r="I501" s="9">
        <f t="shared" ref="I501:M501" si="910">I505-I498-I499-I500</f>
        <v>-2248189</v>
      </c>
      <c r="J501" s="9">
        <f t="shared" si="910"/>
        <v>13992368</v>
      </c>
      <c r="K501" s="9">
        <f t="shared" si="910"/>
        <v>7319980</v>
      </c>
      <c r="L501" s="9">
        <f t="shared" si="910"/>
        <v>-18090915.699999992</v>
      </c>
      <c r="M501" s="9">
        <f t="shared" si="910"/>
        <v>973243.29999999702</v>
      </c>
      <c r="N501" s="9">
        <f>N505-N498-N499-N500</f>
        <v>10006540.129999999</v>
      </c>
      <c r="O501" s="9">
        <f>H501+N501</f>
        <v>10240667.579999998</v>
      </c>
      <c r="P501" s="9">
        <f>P505-P498-P499-P500</f>
        <v>-2757999.8100000024</v>
      </c>
      <c r="Q501" s="9">
        <f t="shared" ref="Q501" si="911">Q505-Q498-Q499-Q500</f>
        <v>296000</v>
      </c>
      <c r="R501" s="9">
        <f>R505-R498-R499-R500</f>
        <v>3997000.1400000006</v>
      </c>
      <c r="S501" s="9"/>
      <c r="T501" s="9">
        <f t="shared" si="901"/>
        <v>1535000.3299999982</v>
      </c>
      <c r="U501" s="9">
        <f t="shared" ref="U501" si="912">U505-U498-U499-U500</f>
        <v>30786034.349999994</v>
      </c>
      <c r="V501" s="9">
        <f>V505-V498-V499-V500</f>
        <v>41026701.929999985</v>
      </c>
      <c r="W501" s="9">
        <f t="shared" ref="W501:AD501" si="913">W505-W498-W499-W500</f>
        <v>0</v>
      </c>
      <c r="X501" s="9"/>
      <c r="Y501" s="9">
        <f t="shared" si="913"/>
        <v>0</v>
      </c>
      <c r="Z501" s="9">
        <f t="shared" si="913"/>
        <v>0</v>
      </c>
      <c r="AA501" s="9"/>
      <c r="AB501" s="9"/>
      <c r="AC501" s="9"/>
      <c r="AD501" s="66">
        <f t="shared" si="913"/>
        <v>0</v>
      </c>
      <c r="AE501" s="9">
        <f t="shared" ref="AE501" si="914">AE505-AE498-AE499-AE500</f>
        <v>2216335.879999985</v>
      </c>
      <c r="AF501" s="9">
        <f t="shared" ref="AF501:AW501" si="915">AF505-AF498-AF499-AF500</f>
        <v>43243037.809999973</v>
      </c>
      <c r="AG501" s="9">
        <f t="shared" si="915"/>
        <v>0</v>
      </c>
      <c r="AH501" s="9">
        <f t="shared" si="915"/>
        <v>0</v>
      </c>
      <c r="AI501" s="9">
        <f t="shared" si="915"/>
        <v>0</v>
      </c>
      <c r="AJ501" s="9">
        <f t="shared" si="915"/>
        <v>0</v>
      </c>
      <c r="AK501" s="9">
        <f t="shared" si="915"/>
        <v>0</v>
      </c>
      <c r="AL501" s="9">
        <f t="shared" si="915"/>
        <v>0</v>
      </c>
      <c r="AM501" s="9">
        <f t="shared" si="915"/>
        <v>0</v>
      </c>
      <c r="AN501" s="9">
        <f t="shared" si="915"/>
        <v>0</v>
      </c>
      <c r="AO501" s="66">
        <f t="shared" si="915"/>
        <v>0</v>
      </c>
      <c r="AP501" s="66">
        <f t="shared" si="915"/>
        <v>0</v>
      </c>
      <c r="AQ501" s="66">
        <f t="shared" si="915"/>
        <v>0</v>
      </c>
      <c r="AR501" s="9">
        <f t="shared" si="915"/>
        <v>0</v>
      </c>
      <c r="AS501" s="9">
        <f t="shared" si="915"/>
        <v>0</v>
      </c>
      <c r="AT501" s="9">
        <f t="shared" si="915"/>
        <v>0</v>
      </c>
      <c r="AU501" s="9">
        <f t="shared" si="915"/>
        <v>0</v>
      </c>
      <c r="AV501" s="9">
        <f t="shared" si="915"/>
        <v>0</v>
      </c>
      <c r="AW501" s="9">
        <f t="shared" si="915"/>
        <v>43243037.809999987</v>
      </c>
      <c r="AX501" s="10" t="s">
        <v>32</v>
      </c>
      <c r="AY501" s="5">
        <v>41786903.617000006</v>
      </c>
      <c r="AZ501" s="5">
        <f t="shared" si="815"/>
        <v>1456134.1929999813</v>
      </c>
    </row>
    <row r="502" spans="1:52" s="5" customFormat="1">
      <c r="A502" s="132"/>
      <c r="B502" s="133"/>
      <c r="C502" s="150"/>
      <c r="D502" s="6" t="s">
        <v>21</v>
      </c>
      <c r="E502" s="7"/>
      <c r="F502" s="8" t="s">
        <v>75</v>
      </c>
      <c r="G502" s="8">
        <v>148339</v>
      </c>
      <c r="H502" s="9">
        <f>SUM(H498:H501)</f>
        <v>317026.67</v>
      </c>
      <c r="I502" s="9">
        <f t="shared" ref="I502:T502" si="916">SUM(I498:I501)</f>
        <v>906000</v>
      </c>
      <c r="J502" s="9">
        <f t="shared" si="916"/>
        <v>52851000</v>
      </c>
      <c r="K502" s="9">
        <f t="shared" si="916"/>
        <v>50187000</v>
      </c>
      <c r="L502" s="9">
        <f t="shared" si="916"/>
        <v>60956000.000000015</v>
      </c>
      <c r="M502" s="9">
        <f t="shared" si="916"/>
        <v>164900000</v>
      </c>
      <c r="N502" s="9">
        <f t="shared" si="916"/>
        <v>42358693.259999998</v>
      </c>
      <c r="O502" s="9">
        <f t="shared" si="916"/>
        <v>42675719.93</v>
      </c>
      <c r="P502" s="9">
        <f t="shared" si="916"/>
        <v>45669000</v>
      </c>
      <c r="Q502" s="9">
        <f t="shared" si="916"/>
        <v>26867000</v>
      </c>
      <c r="R502" s="9">
        <f t="shared" si="916"/>
        <v>40170000</v>
      </c>
      <c r="S502" s="9">
        <f t="shared" si="916"/>
        <v>0</v>
      </c>
      <c r="T502" s="9">
        <f t="shared" si="916"/>
        <v>112706000</v>
      </c>
      <c r="U502" s="9">
        <f t="shared" ref="U502:V502" si="917">SUM(U498:U501)</f>
        <v>42093680.439999998</v>
      </c>
      <c r="V502" s="9">
        <f t="shared" si="917"/>
        <v>84769400.36999999</v>
      </c>
      <c r="W502" s="9">
        <f t="shared" ref="W502:AD502" si="918">SUM(W498:W501)</f>
        <v>103288000</v>
      </c>
      <c r="X502" s="9">
        <f t="shared" si="918"/>
        <v>0</v>
      </c>
      <c r="Y502" s="9">
        <f t="shared" si="918"/>
        <v>0</v>
      </c>
      <c r="Z502" s="9">
        <f t="shared" si="918"/>
        <v>0</v>
      </c>
      <c r="AA502" s="9"/>
      <c r="AB502" s="9"/>
      <c r="AC502" s="9"/>
      <c r="AD502" s="66">
        <f t="shared" si="918"/>
        <v>103288000</v>
      </c>
      <c r="AE502" s="9">
        <f t="shared" ref="AE502" si="919">SUM(AE498:AE501)</f>
        <v>95006003.25999999</v>
      </c>
      <c r="AF502" s="9">
        <f t="shared" ref="AF502:AW502" si="920">SUM(AF498:AF501)</f>
        <v>179775403.63</v>
      </c>
      <c r="AG502" s="9">
        <f t="shared" si="920"/>
        <v>325000</v>
      </c>
      <c r="AH502" s="9">
        <f t="shared" si="920"/>
        <v>0</v>
      </c>
      <c r="AI502" s="9">
        <f t="shared" si="920"/>
        <v>0</v>
      </c>
      <c r="AJ502" s="9">
        <f t="shared" si="920"/>
        <v>0</v>
      </c>
      <c r="AK502" s="9">
        <f t="shared" si="920"/>
        <v>0</v>
      </c>
      <c r="AL502" s="9">
        <f t="shared" si="920"/>
        <v>0</v>
      </c>
      <c r="AM502" s="9">
        <f t="shared" si="920"/>
        <v>0</v>
      </c>
      <c r="AN502" s="9">
        <f t="shared" si="920"/>
        <v>0</v>
      </c>
      <c r="AO502" s="66">
        <f t="shared" si="920"/>
        <v>325000</v>
      </c>
      <c r="AP502" s="66">
        <f t="shared" si="920"/>
        <v>0</v>
      </c>
      <c r="AQ502" s="66">
        <f t="shared" si="920"/>
        <v>325000</v>
      </c>
      <c r="AR502" s="9">
        <f t="shared" si="920"/>
        <v>-403.77</v>
      </c>
      <c r="AS502" s="9">
        <f t="shared" si="920"/>
        <v>0</v>
      </c>
      <c r="AT502" s="9">
        <f t="shared" si="920"/>
        <v>0</v>
      </c>
      <c r="AU502" s="9">
        <f t="shared" si="920"/>
        <v>0</v>
      </c>
      <c r="AV502" s="9">
        <f t="shared" si="920"/>
        <v>0</v>
      </c>
      <c r="AW502" s="9">
        <f t="shared" si="920"/>
        <v>180099999.86000001</v>
      </c>
      <c r="AX502" s="10" t="s">
        <v>32</v>
      </c>
      <c r="AY502" s="5">
        <v>155650346.627</v>
      </c>
      <c r="AZ502" s="5">
        <f t="shared" si="815"/>
        <v>24449653.23300001</v>
      </c>
    </row>
    <row r="503" spans="1:52" s="4" customFormat="1">
      <c r="A503" s="132"/>
      <c r="B503" s="133"/>
      <c r="C503" s="150"/>
      <c r="D503" s="24" t="s">
        <v>22</v>
      </c>
      <c r="E503" s="25"/>
      <c r="F503" s="37" t="s">
        <v>76</v>
      </c>
      <c r="G503" s="37">
        <v>148339</v>
      </c>
      <c r="H503" s="26">
        <f>268484.6</f>
        <v>268484.59999999998</v>
      </c>
      <c r="I503" s="26">
        <f>886928+72</f>
        <v>887000</v>
      </c>
      <c r="J503" s="26">
        <f>38292506.29-72+565.710000000894+5948000</f>
        <v>44241000</v>
      </c>
      <c r="K503" s="26">
        <f>42147738.02-565.710000000894+827.689999997615-146000</f>
        <v>42002000</v>
      </c>
      <c r="L503" s="26">
        <f>26272836.13+565.710000000894-827.689999997615+425.849999997764+24755404.6+595.40000000596</f>
        <v>51029000.000000007</v>
      </c>
      <c r="M503" s="26">
        <f t="shared" ref="M503:M504" si="921">SUM(I503:L503)</f>
        <v>138159000</v>
      </c>
      <c r="N503" s="26">
        <f>35971747.11-H503</f>
        <v>35703262.509999998</v>
      </c>
      <c r="O503" s="26">
        <f t="shared" ref="O503:O504" si="922">H503+N503</f>
        <v>35971747.109999999</v>
      </c>
      <c r="P503" s="26">
        <f>38397945+55</f>
        <v>38398000</v>
      </c>
      <c r="Q503" s="26">
        <f>22331717-55+338</f>
        <v>22332000</v>
      </c>
      <c r="R503" s="26">
        <f>33737962-338+376-270000</f>
        <v>33468000</v>
      </c>
      <c r="S503" s="26"/>
      <c r="T503" s="26">
        <f>SUM(P503:S503)</f>
        <v>94198000</v>
      </c>
      <c r="U503" s="26">
        <v>35363206.129999995</v>
      </c>
      <c r="V503" s="26">
        <f t="shared" ref="V503:V504" si="923">O503+U503</f>
        <v>71334953.239999995</v>
      </c>
      <c r="W503" s="26">
        <v>86700000</v>
      </c>
      <c r="X503" s="26"/>
      <c r="Y503" s="26"/>
      <c r="Z503" s="26"/>
      <c r="AA503" s="26"/>
      <c r="AB503" s="26"/>
      <c r="AC503" s="26"/>
      <c r="AD503" s="67">
        <f t="shared" ref="AD503:AD504" si="924">SUM(W503:Z503)</f>
        <v>86700000</v>
      </c>
      <c r="AE503" s="26">
        <f>59394887.3636364-283969.49+21266087.78/1.19+2196698</f>
        <v>79178277.873636395</v>
      </c>
      <c r="AF503" s="26">
        <f t="shared" ref="AF503:AF504" si="925">V503+AE503</f>
        <v>150513231.11363637</v>
      </c>
      <c r="AG503" s="26">
        <f>283969.49+30.51</f>
        <v>284000</v>
      </c>
      <c r="AH503" s="26"/>
      <c r="AI503" s="26"/>
      <c r="AJ503" s="26"/>
      <c r="AK503" s="26"/>
      <c r="AL503" s="26"/>
      <c r="AM503" s="26"/>
      <c r="AN503" s="26"/>
      <c r="AO503" s="67">
        <f t="shared" si="841"/>
        <v>284000</v>
      </c>
      <c r="AP503" s="67">
        <f t="shared" si="842"/>
        <v>0</v>
      </c>
      <c r="AQ503" s="67">
        <f t="shared" si="843"/>
        <v>284000</v>
      </c>
      <c r="AR503" s="26">
        <v>-30.51</v>
      </c>
      <c r="AS503" s="26"/>
      <c r="AT503" s="26"/>
      <c r="AU503" s="26"/>
      <c r="AV503" s="26"/>
      <c r="AW503" s="26">
        <f t="shared" si="844"/>
        <v>150797200.60363638</v>
      </c>
      <c r="AX503" s="14" t="s">
        <v>32</v>
      </c>
      <c r="AY503" s="4">
        <v>130428119.03999999</v>
      </c>
      <c r="AZ503" s="41">
        <f t="shared" si="815"/>
        <v>20369081.563636392</v>
      </c>
    </row>
    <row r="504" spans="1:52" s="4" customFormat="1">
      <c r="A504" s="132"/>
      <c r="B504" s="133"/>
      <c r="C504" s="150"/>
      <c r="D504" s="24" t="s">
        <v>22</v>
      </c>
      <c r="E504" s="25"/>
      <c r="F504" s="37" t="s">
        <v>77</v>
      </c>
      <c r="G504" s="37">
        <v>148339</v>
      </c>
      <c r="H504" s="26">
        <v>48542.07</v>
      </c>
      <c r="I504" s="26">
        <f>18950.75+49.25</f>
        <v>19000</v>
      </c>
      <c r="J504" s="26">
        <f>7544126.94-49.25+922.30999999959+1065000</f>
        <v>8610000</v>
      </c>
      <c r="K504" s="26">
        <f>8252279.16-922.30999999959+643.149999999441-67000</f>
        <v>8185000</v>
      </c>
      <c r="L504" s="26">
        <f>5040519.34-643.149999999441+123.80999999959+4887096.81-2-94.8099999986588</f>
        <v>9927000</v>
      </c>
      <c r="M504" s="26">
        <f t="shared" si="921"/>
        <v>26741000</v>
      </c>
      <c r="N504" s="26">
        <f>6680648.82+23324-H504</f>
        <v>6655430.75</v>
      </c>
      <c r="O504" s="26">
        <f t="shared" si="922"/>
        <v>6703972.8200000003</v>
      </c>
      <c r="P504" s="26">
        <f>7270543+457</f>
        <v>7271000</v>
      </c>
      <c r="Q504" s="26">
        <f>4256236-457+221+279000</f>
        <v>4535000</v>
      </c>
      <c r="R504" s="26">
        <f>6423422-221+799-279000+556803+197</f>
        <v>6702000</v>
      </c>
      <c r="S504" s="26"/>
      <c r="T504" s="26">
        <f>SUM(P504:S504)</f>
        <v>18508000</v>
      </c>
      <c r="U504" s="26">
        <v>6730474.3100000005</v>
      </c>
      <c r="V504" s="26">
        <f t="shared" si="923"/>
        <v>13434447.130000001</v>
      </c>
      <c r="W504" s="26">
        <f>103288000-W503</f>
        <v>16588000</v>
      </c>
      <c r="X504" s="26"/>
      <c r="Y504" s="26"/>
      <c r="Z504" s="26"/>
      <c r="AA504" s="26"/>
      <c r="AB504" s="26"/>
      <c r="AC504" s="26"/>
      <c r="AD504" s="67">
        <f t="shared" si="924"/>
        <v>16588000</v>
      </c>
      <c r="AE504" s="26">
        <f>12472926.3463636-40626.74+21266087.78/1.19*19%</f>
        <v>15827725.386363599</v>
      </c>
      <c r="AF504" s="26">
        <f t="shared" si="925"/>
        <v>29262172.516363598</v>
      </c>
      <c r="AG504" s="26">
        <f>40626.74+373.26</f>
        <v>41000</v>
      </c>
      <c r="AH504" s="26"/>
      <c r="AI504" s="26"/>
      <c r="AJ504" s="26"/>
      <c r="AK504" s="26"/>
      <c r="AL504" s="26"/>
      <c r="AM504" s="26"/>
      <c r="AN504" s="26"/>
      <c r="AO504" s="67">
        <f t="shared" si="841"/>
        <v>41000</v>
      </c>
      <c r="AP504" s="67">
        <f t="shared" si="842"/>
        <v>0</v>
      </c>
      <c r="AQ504" s="67">
        <f t="shared" si="843"/>
        <v>41000</v>
      </c>
      <c r="AR504" s="26">
        <v>-373.26</v>
      </c>
      <c r="AS504" s="26"/>
      <c r="AT504" s="26"/>
      <c r="AU504" s="26"/>
      <c r="AV504" s="26"/>
      <c r="AW504" s="26">
        <f t="shared" si="844"/>
        <v>29302799.256363597</v>
      </c>
      <c r="AX504" s="14" t="s">
        <v>32</v>
      </c>
      <c r="AY504" s="4">
        <v>25222227.587000001</v>
      </c>
      <c r="AZ504" s="41">
        <f t="shared" si="815"/>
        <v>4080571.6693635955</v>
      </c>
    </row>
    <row r="505" spans="1:52" s="4" customFormat="1">
      <c r="A505" s="160"/>
      <c r="B505" s="133"/>
      <c r="C505" s="150"/>
      <c r="D505" s="24" t="s">
        <v>22</v>
      </c>
      <c r="E505" s="25"/>
      <c r="F505" s="37" t="s">
        <v>29</v>
      </c>
      <c r="G505" s="37">
        <v>148339</v>
      </c>
      <c r="H505" s="26">
        <f>SUM(H503:H504)</f>
        <v>317026.67</v>
      </c>
      <c r="I505" s="26">
        <f t="shared" ref="I505:AW505" si="926">SUM(I503:I504)</f>
        <v>906000</v>
      </c>
      <c r="J505" s="26">
        <f t="shared" si="926"/>
        <v>52851000</v>
      </c>
      <c r="K505" s="26">
        <f t="shared" si="926"/>
        <v>50187000</v>
      </c>
      <c r="L505" s="26">
        <f t="shared" si="926"/>
        <v>60956000.000000007</v>
      </c>
      <c r="M505" s="26">
        <f t="shared" si="926"/>
        <v>164900000</v>
      </c>
      <c r="N505" s="26">
        <f t="shared" si="926"/>
        <v>42358693.259999998</v>
      </c>
      <c r="O505" s="26">
        <f t="shared" si="926"/>
        <v>42675719.93</v>
      </c>
      <c r="P505" s="26">
        <f t="shared" si="926"/>
        <v>45669000</v>
      </c>
      <c r="Q505" s="26">
        <f t="shared" si="926"/>
        <v>26867000</v>
      </c>
      <c r="R505" s="26">
        <f t="shared" si="926"/>
        <v>40170000</v>
      </c>
      <c r="S505" s="26">
        <f t="shared" si="926"/>
        <v>0</v>
      </c>
      <c r="T505" s="26">
        <f t="shared" si="926"/>
        <v>112706000</v>
      </c>
      <c r="U505" s="26">
        <f t="shared" si="926"/>
        <v>42093680.439999998</v>
      </c>
      <c r="V505" s="26">
        <f t="shared" si="926"/>
        <v>84769400.36999999</v>
      </c>
      <c r="W505" s="26">
        <f t="shared" si="926"/>
        <v>103288000</v>
      </c>
      <c r="X505" s="26">
        <f t="shared" si="926"/>
        <v>0</v>
      </c>
      <c r="Y505" s="26">
        <f t="shared" si="926"/>
        <v>0</v>
      </c>
      <c r="Z505" s="26">
        <f t="shared" si="926"/>
        <v>0</v>
      </c>
      <c r="AA505" s="26"/>
      <c r="AB505" s="26"/>
      <c r="AC505" s="26"/>
      <c r="AD505" s="67">
        <f t="shared" si="926"/>
        <v>103288000</v>
      </c>
      <c r="AE505" s="26">
        <f t="shared" si="926"/>
        <v>95006003.25999999</v>
      </c>
      <c r="AF505" s="26">
        <f t="shared" si="926"/>
        <v>179775403.62999997</v>
      </c>
      <c r="AG505" s="26">
        <f t="shared" si="926"/>
        <v>325000</v>
      </c>
      <c r="AH505" s="26">
        <f t="shared" si="926"/>
        <v>0</v>
      </c>
      <c r="AI505" s="26">
        <f t="shared" si="926"/>
        <v>0</v>
      </c>
      <c r="AJ505" s="26">
        <f t="shared" si="926"/>
        <v>0</v>
      </c>
      <c r="AK505" s="26">
        <f t="shared" si="926"/>
        <v>0</v>
      </c>
      <c r="AL505" s="26">
        <f t="shared" si="926"/>
        <v>0</v>
      </c>
      <c r="AM505" s="26">
        <f t="shared" si="926"/>
        <v>0</v>
      </c>
      <c r="AN505" s="26">
        <f t="shared" si="926"/>
        <v>0</v>
      </c>
      <c r="AO505" s="67">
        <f t="shared" si="926"/>
        <v>325000</v>
      </c>
      <c r="AP505" s="67">
        <f t="shared" si="926"/>
        <v>0</v>
      </c>
      <c r="AQ505" s="67">
        <f t="shared" si="926"/>
        <v>325000</v>
      </c>
      <c r="AR505" s="26">
        <f t="shared" si="926"/>
        <v>-403.77</v>
      </c>
      <c r="AS505" s="26">
        <f t="shared" si="926"/>
        <v>0</v>
      </c>
      <c r="AT505" s="26">
        <f t="shared" si="926"/>
        <v>0</v>
      </c>
      <c r="AU505" s="26">
        <f t="shared" si="926"/>
        <v>0</v>
      </c>
      <c r="AV505" s="26">
        <f t="shared" si="926"/>
        <v>0</v>
      </c>
      <c r="AW505" s="26">
        <f t="shared" si="926"/>
        <v>180099999.85999998</v>
      </c>
      <c r="AX505" s="14" t="s">
        <v>32</v>
      </c>
      <c r="AY505" s="4">
        <v>155650346.627</v>
      </c>
      <c r="AZ505" s="41">
        <f t="shared" si="815"/>
        <v>24449653.23299998</v>
      </c>
    </row>
    <row r="506" spans="1:52" s="5" customFormat="1" ht="30">
      <c r="A506" s="132" t="s">
        <v>339</v>
      </c>
      <c r="B506" s="133" t="s">
        <v>56</v>
      </c>
      <c r="C506" s="150">
        <v>84</v>
      </c>
      <c r="D506" s="6" t="s">
        <v>21</v>
      </c>
      <c r="E506" s="7"/>
      <c r="F506" s="8" t="s">
        <v>57</v>
      </c>
      <c r="G506" s="8">
        <v>347764</v>
      </c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66"/>
      <c r="AE506" s="9"/>
      <c r="AF506" s="9"/>
      <c r="AG506" s="9">
        <v>8260000</v>
      </c>
      <c r="AH506" s="9"/>
      <c r="AI506" s="9"/>
      <c r="AJ506" s="9"/>
      <c r="AK506" s="9"/>
      <c r="AL506" s="9"/>
      <c r="AM506" s="9"/>
      <c r="AN506" s="9"/>
      <c r="AO506" s="66">
        <f t="shared" ref="AO506" si="927">AG506+AI506+AK506+AM506</f>
        <v>8260000</v>
      </c>
      <c r="AP506" s="66">
        <f t="shared" ref="AP506" si="928">AH506+AJ506+AL506+AN506</f>
        <v>0</v>
      </c>
      <c r="AQ506" s="66">
        <f t="shared" ref="AQ506" si="929">AO506+AP506</f>
        <v>8260000</v>
      </c>
      <c r="AR506" s="9">
        <v>-106</v>
      </c>
      <c r="AS506" s="9"/>
      <c r="AT506" s="9"/>
      <c r="AU506" s="9"/>
      <c r="AV506" s="9"/>
      <c r="AW506" s="9">
        <f t="shared" si="844"/>
        <v>8259894</v>
      </c>
      <c r="AX506" s="48" t="s">
        <v>340</v>
      </c>
      <c r="AY506" s="5">
        <v>8259893.5199999996</v>
      </c>
      <c r="AZ506" s="11">
        <f t="shared" si="815"/>
        <v>0.48000000044703484</v>
      </c>
    </row>
    <row r="507" spans="1:52" s="5" customFormat="1" ht="30">
      <c r="A507" s="132"/>
      <c r="B507" s="133"/>
      <c r="C507" s="150"/>
      <c r="D507" s="6" t="s">
        <v>21</v>
      </c>
      <c r="E507" s="7"/>
      <c r="F507" s="8" t="s">
        <v>342</v>
      </c>
      <c r="G507" s="8">
        <v>347764</v>
      </c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66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66">
        <f t="shared" ref="AO507:AO508" si="930">AG507+AI507+AK507+AM507</f>
        <v>0</v>
      </c>
      <c r="AP507" s="66">
        <f t="shared" ref="AP507:AP508" si="931">AH507+AJ507+AL507+AN507</f>
        <v>0</v>
      </c>
      <c r="AQ507" s="66">
        <f t="shared" ref="AQ507:AQ508" si="932">AO507+AP507</f>
        <v>0</v>
      </c>
      <c r="AR507" s="9">
        <v>1108143.96</v>
      </c>
      <c r="AS507" s="9"/>
      <c r="AT507" s="9"/>
      <c r="AU507" s="9"/>
      <c r="AV507" s="9"/>
      <c r="AW507" s="9">
        <f t="shared" si="844"/>
        <v>1108143.96</v>
      </c>
      <c r="AX507" s="48" t="s">
        <v>340</v>
      </c>
      <c r="AY507" s="5">
        <f>1108143.96</f>
        <v>1108143.96</v>
      </c>
      <c r="AZ507" s="11">
        <f t="shared" si="815"/>
        <v>0</v>
      </c>
    </row>
    <row r="508" spans="1:52" s="5" customFormat="1" ht="33" customHeight="1">
      <c r="A508" s="132"/>
      <c r="B508" s="133"/>
      <c r="C508" s="150"/>
      <c r="D508" s="6" t="s">
        <v>21</v>
      </c>
      <c r="E508" s="7"/>
      <c r="F508" s="8" t="s">
        <v>341</v>
      </c>
      <c r="G508" s="8">
        <v>347764</v>
      </c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66"/>
      <c r="AE508" s="9"/>
      <c r="AF508" s="9"/>
      <c r="AG508" s="9">
        <f>AG512-AG506-AG507</f>
        <v>6624000</v>
      </c>
      <c r="AH508" s="9">
        <f t="shared" ref="AH508:AN508" si="933">AH512-AH506-AH507</f>
        <v>0</v>
      </c>
      <c r="AI508" s="9">
        <f t="shared" si="933"/>
        <v>0</v>
      </c>
      <c r="AJ508" s="9">
        <f t="shared" si="933"/>
        <v>0</v>
      </c>
      <c r="AK508" s="9">
        <f t="shared" si="933"/>
        <v>0</v>
      </c>
      <c r="AL508" s="9">
        <f t="shared" si="933"/>
        <v>0</v>
      </c>
      <c r="AM508" s="9">
        <f t="shared" si="933"/>
        <v>0</v>
      </c>
      <c r="AN508" s="9">
        <f t="shared" si="933"/>
        <v>0</v>
      </c>
      <c r="AO508" s="66">
        <f t="shared" si="930"/>
        <v>6624000</v>
      </c>
      <c r="AP508" s="66">
        <f t="shared" si="931"/>
        <v>0</v>
      </c>
      <c r="AQ508" s="66">
        <f t="shared" si="932"/>
        <v>6624000</v>
      </c>
      <c r="AR508" s="9">
        <f t="shared" ref="AR508" si="934">AR512-AR506-AR507</f>
        <v>-1108767.96</v>
      </c>
      <c r="AS508" s="9">
        <f t="shared" ref="AS508" si="935">AS512-AS506-AS507</f>
        <v>0</v>
      </c>
      <c r="AT508" s="9">
        <f t="shared" ref="AT508" si="936">AT512-AT506-AT507</f>
        <v>0</v>
      </c>
      <c r="AU508" s="9">
        <f t="shared" ref="AU508" si="937">AU512-AU506-AU507</f>
        <v>0</v>
      </c>
      <c r="AV508" s="9">
        <f t="shared" ref="AV508" si="938">AV512-AV506-AV507</f>
        <v>0</v>
      </c>
      <c r="AW508" s="9">
        <f t="shared" si="844"/>
        <v>5515232.04</v>
      </c>
      <c r="AX508" s="48" t="s">
        <v>340</v>
      </c>
      <c r="AY508" s="5">
        <f>5515232.53</f>
        <v>5515232.5300000003</v>
      </c>
      <c r="AZ508" s="11">
        <f t="shared" si="815"/>
        <v>-0.49000000022351742</v>
      </c>
    </row>
    <row r="509" spans="1:52" s="5" customFormat="1" ht="30">
      <c r="A509" s="132"/>
      <c r="B509" s="133"/>
      <c r="C509" s="150"/>
      <c r="D509" s="6" t="s">
        <v>21</v>
      </c>
      <c r="E509" s="7"/>
      <c r="F509" s="8" t="s">
        <v>47</v>
      </c>
      <c r="G509" s="8">
        <v>347764</v>
      </c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66"/>
      <c r="AE509" s="9">
        <f>SUM(AE506:AE508)</f>
        <v>0</v>
      </c>
      <c r="AF509" s="9">
        <f t="shared" ref="AF509:AW509" si="939">SUM(AF506:AF508)</f>
        <v>0</v>
      </c>
      <c r="AG509" s="9">
        <f t="shared" si="939"/>
        <v>14884000</v>
      </c>
      <c r="AH509" s="9">
        <f t="shared" si="939"/>
        <v>0</v>
      </c>
      <c r="AI509" s="9">
        <f t="shared" si="939"/>
        <v>0</v>
      </c>
      <c r="AJ509" s="9">
        <f t="shared" si="939"/>
        <v>0</v>
      </c>
      <c r="AK509" s="9">
        <f t="shared" si="939"/>
        <v>0</v>
      </c>
      <c r="AL509" s="9">
        <f t="shared" si="939"/>
        <v>0</v>
      </c>
      <c r="AM509" s="9">
        <f t="shared" si="939"/>
        <v>0</v>
      </c>
      <c r="AN509" s="9">
        <f t="shared" si="939"/>
        <v>0</v>
      </c>
      <c r="AO509" s="66">
        <f t="shared" si="939"/>
        <v>14884000</v>
      </c>
      <c r="AP509" s="66">
        <f t="shared" si="939"/>
        <v>0</v>
      </c>
      <c r="AQ509" s="66">
        <f t="shared" si="939"/>
        <v>14884000</v>
      </c>
      <c r="AR509" s="9">
        <f t="shared" si="939"/>
        <v>-730</v>
      </c>
      <c r="AS509" s="9">
        <f t="shared" si="939"/>
        <v>0</v>
      </c>
      <c r="AT509" s="9">
        <f t="shared" si="939"/>
        <v>0</v>
      </c>
      <c r="AU509" s="9">
        <f t="shared" si="939"/>
        <v>0</v>
      </c>
      <c r="AV509" s="9">
        <f t="shared" si="939"/>
        <v>0</v>
      </c>
      <c r="AW509" s="9">
        <f t="shared" si="939"/>
        <v>14883270</v>
      </c>
      <c r="AX509" s="48" t="s">
        <v>340</v>
      </c>
    </row>
    <row r="510" spans="1:52" s="4" customFormat="1" ht="30">
      <c r="A510" s="132"/>
      <c r="B510" s="133"/>
      <c r="C510" s="150"/>
      <c r="D510" s="24" t="s">
        <v>22</v>
      </c>
      <c r="E510" s="25"/>
      <c r="F510" s="37" t="s">
        <v>76</v>
      </c>
      <c r="G510" s="37">
        <v>347764</v>
      </c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67"/>
      <c r="AE510" s="26"/>
      <c r="AF510" s="26"/>
      <c r="AG510" s="26">
        <v>8260000</v>
      </c>
      <c r="AH510" s="26"/>
      <c r="AI510" s="26"/>
      <c r="AJ510" s="26"/>
      <c r="AK510" s="26"/>
      <c r="AL510" s="26"/>
      <c r="AM510" s="26"/>
      <c r="AN510" s="26"/>
      <c r="AO510" s="67">
        <f t="shared" ref="AO510:AO511" si="940">AG510+AI510+AK510+AM510</f>
        <v>8260000</v>
      </c>
      <c r="AP510" s="67">
        <f t="shared" ref="AP510:AP511" si="941">AH510+AJ510+AL510+AN510</f>
        <v>0</v>
      </c>
      <c r="AQ510" s="67">
        <f t="shared" ref="AQ510:AQ511" si="942">AO510+AP510</f>
        <v>8260000</v>
      </c>
      <c r="AR510" s="26">
        <v>-106</v>
      </c>
      <c r="AS510" s="26"/>
      <c r="AT510" s="26"/>
      <c r="AU510" s="26"/>
      <c r="AV510" s="26"/>
      <c r="AW510" s="26">
        <f t="shared" si="844"/>
        <v>8259894</v>
      </c>
      <c r="AX510" s="3" t="s">
        <v>340</v>
      </c>
      <c r="AY510" s="4">
        <v>8259893.5199999996</v>
      </c>
      <c r="AZ510" s="41">
        <f t="shared" ref="AZ510:AZ512" si="943">AW510-AY510</f>
        <v>0.48000000044703484</v>
      </c>
    </row>
    <row r="511" spans="1:52" s="4" customFormat="1" ht="30">
      <c r="A511" s="132"/>
      <c r="B511" s="133"/>
      <c r="C511" s="150"/>
      <c r="D511" s="24" t="s">
        <v>22</v>
      </c>
      <c r="E511" s="25"/>
      <c r="F511" s="37" t="s">
        <v>77</v>
      </c>
      <c r="G511" s="37">
        <v>347764</v>
      </c>
      <c r="H511" s="26"/>
      <c r="I511" s="26"/>
      <c r="J511" s="26"/>
      <c r="K511" s="26"/>
      <c r="L511" s="26"/>
      <c r="M511" s="26"/>
      <c r="N511" s="26"/>
      <c r="O511" s="26"/>
      <c r="P511" s="54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67"/>
      <c r="AE511" s="26"/>
      <c r="AF511" s="26"/>
      <c r="AG511" s="26">
        <v>6624000</v>
      </c>
      <c r="AH511" s="26"/>
      <c r="AI511" s="26"/>
      <c r="AJ511" s="26"/>
      <c r="AK511" s="26"/>
      <c r="AL511" s="26"/>
      <c r="AM511" s="26"/>
      <c r="AN511" s="26"/>
      <c r="AO511" s="67">
        <f t="shared" si="940"/>
        <v>6624000</v>
      </c>
      <c r="AP511" s="67">
        <f t="shared" si="941"/>
        <v>0</v>
      </c>
      <c r="AQ511" s="67">
        <f t="shared" si="942"/>
        <v>6624000</v>
      </c>
      <c r="AR511" s="26">
        <v>-624</v>
      </c>
      <c r="AS511" s="26"/>
      <c r="AT511" s="26"/>
      <c r="AU511" s="26"/>
      <c r="AV511" s="26"/>
      <c r="AW511" s="26">
        <f t="shared" si="844"/>
        <v>6623376</v>
      </c>
      <c r="AX511" s="3" t="s">
        <v>340</v>
      </c>
      <c r="AY511" s="4">
        <f>5515232.53+1108143.96</f>
        <v>6623376.4900000002</v>
      </c>
      <c r="AZ511" s="41">
        <f t="shared" si="943"/>
        <v>-0.49000000022351742</v>
      </c>
    </row>
    <row r="512" spans="1:52" s="4" customFormat="1" ht="30">
      <c r="A512" s="160"/>
      <c r="B512" s="133"/>
      <c r="C512" s="150"/>
      <c r="D512" s="24" t="s">
        <v>22</v>
      </c>
      <c r="E512" s="25"/>
      <c r="F512" s="37" t="s">
        <v>29</v>
      </c>
      <c r="G512" s="37">
        <v>347764</v>
      </c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67"/>
      <c r="AE512" s="26">
        <f>SUM(AE510:AE511)</f>
        <v>0</v>
      </c>
      <c r="AF512" s="26">
        <f t="shared" ref="AF512:AW512" si="944">SUM(AF510:AF511)</f>
        <v>0</v>
      </c>
      <c r="AG512" s="26">
        <f t="shared" si="944"/>
        <v>14884000</v>
      </c>
      <c r="AH512" s="26">
        <f t="shared" si="944"/>
        <v>0</v>
      </c>
      <c r="AI512" s="26">
        <f t="shared" si="944"/>
        <v>0</v>
      </c>
      <c r="AJ512" s="26">
        <f t="shared" si="944"/>
        <v>0</v>
      </c>
      <c r="AK512" s="26">
        <f t="shared" si="944"/>
        <v>0</v>
      </c>
      <c r="AL512" s="26">
        <f t="shared" si="944"/>
        <v>0</v>
      </c>
      <c r="AM512" s="26">
        <f t="shared" si="944"/>
        <v>0</v>
      </c>
      <c r="AN512" s="26">
        <f t="shared" si="944"/>
        <v>0</v>
      </c>
      <c r="AO512" s="67">
        <f t="shared" si="944"/>
        <v>14884000</v>
      </c>
      <c r="AP512" s="67">
        <f t="shared" si="944"/>
        <v>0</v>
      </c>
      <c r="AQ512" s="67">
        <f t="shared" si="944"/>
        <v>14884000</v>
      </c>
      <c r="AR512" s="26">
        <f t="shared" si="944"/>
        <v>-730</v>
      </c>
      <c r="AS512" s="26">
        <f t="shared" si="944"/>
        <v>0</v>
      </c>
      <c r="AT512" s="26">
        <f t="shared" si="944"/>
        <v>0</v>
      </c>
      <c r="AU512" s="26">
        <f t="shared" si="944"/>
        <v>0</v>
      </c>
      <c r="AV512" s="26">
        <f t="shared" si="944"/>
        <v>0</v>
      </c>
      <c r="AW512" s="26">
        <f t="shared" si="944"/>
        <v>14883270</v>
      </c>
      <c r="AX512" s="3" t="s">
        <v>340</v>
      </c>
      <c r="AZ512" s="41">
        <f t="shared" si="943"/>
        <v>14883270</v>
      </c>
    </row>
    <row r="514" spans="31:43">
      <c r="AE514" s="16"/>
    </row>
    <row r="515" spans="31:43">
      <c r="AF515" s="12"/>
      <c r="AG515" s="12"/>
      <c r="AH515" s="12"/>
      <c r="AI515" s="12"/>
      <c r="AJ515" s="12"/>
      <c r="AK515" s="12"/>
      <c r="AL515" s="12"/>
      <c r="AM515" s="12"/>
      <c r="AN515" s="12"/>
      <c r="AO515" s="64"/>
      <c r="AP515" s="64"/>
      <c r="AQ515" s="64"/>
    </row>
    <row r="516" spans="31:43">
      <c r="AE516" s="12"/>
    </row>
    <row r="518" spans="31:43">
      <c r="AE518" s="73"/>
    </row>
  </sheetData>
  <autoFilter ref="A2:BA512">
    <filterColumn colId="20"/>
    <filterColumn colId="21"/>
    <filterColumn colId="22"/>
    <filterColumn colId="23"/>
    <filterColumn colId="24"/>
    <filterColumn colId="25"/>
    <filterColumn colId="26"/>
    <filterColumn colId="27"/>
    <filterColumn colId="28"/>
    <filterColumn colId="30"/>
    <filterColumn colId="31"/>
    <filterColumn colId="32"/>
    <filterColumn colId="33"/>
    <filterColumn colId="34"/>
    <filterColumn colId="35"/>
    <filterColumn colId="36"/>
    <filterColumn colId="37"/>
    <filterColumn colId="38"/>
    <filterColumn colId="39"/>
    <filterColumn colId="40"/>
    <filterColumn colId="41"/>
    <filterColumn colId="46"/>
    <filterColumn colId="47"/>
  </autoFilter>
  <mergeCells count="201">
    <mergeCell ref="A136:A146"/>
    <mergeCell ref="B136:B146"/>
    <mergeCell ref="A147:A148"/>
    <mergeCell ref="B147:B148"/>
    <mergeCell ref="A112:A123"/>
    <mergeCell ref="B112:B123"/>
    <mergeCell ref="A124:A135"/>
    <mergeCell ref="B124:B135"/>
    <mergeCell ref="A108:A109"/>
    <mergeCell ref="B108:B109"/>
    <mergeCell ref="A110:A111"/>
    <mergeCell ref="B110:B111"/>
    <mergeCell ref="AO2:AQ2"/>
    <mergeCell ref="AV2:AV3"/>
    <mergeCell ref="AT2:AT3"/>
    <mergeCell ref="AU2:AU3"/>
    <mergeCell ref="C325:C341"/>
    <mergeCell ref="C254:C265"/>
    <mergeCell ref="C214:C225"/>
    <mergeCell ref="AW2:AW3"/>
    <mergeCell ref="AX2:AX3"/>
    <mergeCell ref="AB2:AD2"/>
    <mergeCell ref="C212:C213"/>
    <mergeCell ref="C175:C181"/>
    <mergeCell ref="C136:C146"/>
    <mergeCell ref="C147:C148"/>
    <mergeCell ref="C112:C123"/>
    <mergeCell ref="C124:C135"/>
    <mergeCell ref="C108:C109"/>
    <mergeCell ref="AE2:AE3"/>
    <mergeCell ref="AF2:AF3"/>
    <mergeCell ref="C168:C174"/>
    <mergeCell ref="AG2:AH2"/>
    <mergeCell ref="AI2:AJ2"/>
    <mergeCell ref="AK2:AL2"/>
    <mergeCell ref="AM2:AN2"/>
    <mergeCell ref="A478:A487"/>
    <mergeCell ref="B478:B487"/>
    <mergeCell ref="C478:C487"/>
    <mergeCell ref="Y2:Y3"/>
    <mergeCell ref="Z2:Z3"/>
    <mergeCell ref="AA2:AA3"/>
    <mergeCell ref="AR2:AR3"/>
    <mergeCell ref="AS2:AS3"/>
    <mergeCell ref="A2:A3"/>
    <mergeCell ref="B2:B3"/>
    <mergeCell ref="C2:C3"/>
    <mergeCell ref="E2:E3"/>
    <mergeCell ref="F2:F3"/>
    <mergeCell ref="G2:G3"/>
    <mergeCell ref="V2:V3"/>
    <mergeCell ref="W2:W3"/>
    <mergeCell ref="X2:X3"/>
    <mergeCell ref="A157:A167"/>
    <mergeCell ref="B157:B167"/>
    <mergeCell ref="C157:C167"/>
    <mergeCell ref="B325:B341"/>
    <mergeCell ref="A210:A211"/>
    <mergeCell ref="B210:B211"/>
    <mergeCell ref="C210:C211"/>
    <mergeCell ref="A506:A512"/>
    <mergeCell ref="B506:B512"/>
    <mergeCell ref="C506:C512"/>
    <mergeCell ref="A325:A341"/>
    <mergeCell ref="A489:A497"/>
    <mergeCell ref="B489:B497"/>
    <mergeCell ref="C489:C497"/>
    <mergeCell ref="A498:A505"/>
    <mergeCell ref="B498:B505"/>
    <mergeCell ref="C498:C505"/>
    <mergeCell ref="A439:A448"/>
    <mergeCell ref="B439:B448"/>
    <mergeCell ref="C439:C448"/>
    <mergeCell ref="A449:A457"/>
    <mergeCell ref="B449:B457"/>
    <mergeCell ref="C449:C457"/>
    <mergeCell ref="A358:A364"/>
    <mergeCell ref="A468:A477"/>
    <mergeCell ref="A373:A374"/>
    <mergeCell ref="B373:B374"/>
    <mergeCell ref="A396:A406"/>
    <mergeCell ref="B396:B406"/>
    <mergeCell ref="C396:C406"/>
    <mergeCell ref="A342:A351"/>
    <mergeCell ref="B468:B477"/>
    <mergeCell ref="C468:C477"/>
    <mergeCell ref="A301:A309"/>
    <mergeCell ref="B301:B309"/>
    <mergeCell ref="C301:C309"/>
    <mergeCell ref="A458:A467"/>
    <mergeCell ref="B458:B467"/>
    <mergeCell ref="C458:C467"/>
    <mergeCell ref="A353:A355"/>
    <mergeCell ref="B353:B355"/>
    <mergeCell ref="C353:C355"/>
    <mergeCell ref="A310:A324"/>
    <mergeCell ref="C365:C371"/>
    <mergeCell ref="A377:A385"/>
    <mergeCell ref="C431:C437"/>
    <mergeCell ref="B342:B351"/>
    <mergeCell ref="C342:C351"/>
    <mergeCell ref="A431:A437"/>
    <mergeCell ref="B431:B437"/>
    <mergeCell ref="C377:C385"/>
    <mergeCell ref="C310:C324"/>
    <mergeCell ref="C358:C364"/>
    <mergeCell ref="A365:A371"/>
    <mergeCell ref="B365:B371"/>
    <mergeCell ref="C407:C418"/>
    <mergeCell ref="B387:B395"/>
    <mergeCell ref="C387:C395"/>
    <mergeCell ref="B358:B364"/>
    <mergeCell ref="A154:A155"/>
    <mergeCell ref="B154:B155"/>
    <mergeCell ref="C154:C155"/>
    <mergeCell ref="C292:C300"/>
    <mergeCell ref="C266:C275"/>
    <mergeCell ref="A276:A282"/>
    <mergeCell ref="B276:B282"/>
    <mergeCell ref="B199:B207"/>
    <mergeCell ref="A199:A207"/>
    <mergeCell ref="A292:A300"/>
    <mergeCell ref="B292:B300"/>
    <mergeCell ref="B377:B385"/>
    <mergeCell ref="C373:C374"/>
    <mergeCell ref="A182:A188"/>
    <mergeCell ref="B182:B188"/>
    <mergeCell ref="C182:C188"/>
    <mergeCell ref="C276:C282"/>
    <mergeCell ref="C110:C111"/>
    <mergeCell ref="A36:A45"/>
    <mergeCell ref="B36:B45"/>
    <mergeCell ref="C36:C45"/>
    <mergeCell ref="A47:A53"/>
    <mergeCell ref="B47:B53"/>
    <mergeCell ref="C47:C53"/>
    <mergeCell ref="A78:A88"/>
    <mergeCell ref="B78:B88"/>
    <mergeCell ref="C78:C88"/>
    <mergeCell ref="A89:A99"/>
    <mergeCell ref="B89:B99"/>
    <mergeCell ref="C89:C99"/>
    <mergeCell ref="A54:A65"/>
    <mergeCell ref="B54:B65"/>
    <mergeCell ref="C54:C65"/>
    <mergeCell ref="A66:A77"/>
    <mergeCell ref="B66:B77"/>
    <mergeCell ref="C66:C77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04:A105"/>
    <mergeCell ref="B104:B105"/>
    <mergeCell ref="C104:C105"/>
    <mergeCell ref="B310:B324"/>
    <mergeCell ref="A283:A291"/>
    <mergeCell ref="B283:B291"/>
    <mergeCell ref="C283:C291"/>
    <mergeCell ref="C199:C207"/>
    <mergeCell ref="A254:A265"/>
    <mergeCell ref="B254:B265"/>
    <mergeCell ref="A266:A275"/>
    <mergeCell ref="B266:B275"/>
    <mergeCell ref="A214:A225"/>
    <mergeCell ref="B214:B225"/>
    <mergeCell ref="A238:A253"/>
    <mergeCell ref="B238:B253"/>
    <mergeCell ref="C238:C253"/>
    <mergeCell ref="B227:B237"/>
    <mergeCell ref="A212:A213"/>
    <mergeCell ref="B212:B213"/>
    <mergeCell ref="A419:A430"/>
    <mergeCell ref="B419:B430"/>
    <mergeCell ref="C419:C430"/>
    <mergeCell ref="A149:A153"/>
    <mergeCell ref="B149:B153"/>
    <mergeCell ref="C149:C153"/>
    <mergeCell ref="A196:A198"/>
    <mergeCell ref="B196:B198"/>
    <mergeCell ref="C196:C198"/>
    <mergeCell ref="A227:A237"/>
    <mergeCell ref="C227:C237"/>
    <mergeCell ref="A208:A209"/>
    <mergeCell ref="B208:B209"/>
    <mergeCell ref="C208:C209"/>
    <mergeCell ref="A168:A174"/>
    <mergeCell ref="B168:B174"/>
    <mergeCell ref="A175:A181"/>
    <mergeCell ref="B175:B181"/>
    <mergeCell ref="A189:A195"/>
    <mergeCell ref="B189:B195"/>
    <mergeCell ref="C189:C195"/>
    <mergeCell ref="A387:A395"/>
    <mergeCell ref="A407:A418"/>
    <mergeCell ref="B407:B418"/>
  </mergeCells>
  <pageMargins left="0.15748031496062992" right="0.70866141732283472" top="0.74803149606299213" bottom="0.74803149606299213" header="0.31496062992125984" footer="0.31496062992125984"/>
  <pageSetup paperSize="8" scale="4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0" sqref="Q10"/>
    </sheetView>
  </sheetViews>
  <sheetFormatPr defaultRowHeight="15"/>
  <cols>
    <col min="1" max="1" width="4.42578125" style="60" customWidth="1"/>
    <col min="2" max="2" width="5.42578125" style="60" customWidth="1"/>
    <col min="3" max="3" width="46.85546875" style="60" customWidth="1"/>
    <col min="4" max="4" width="18.5703125" style="60" customWidth="1"/>
    <col min="5" max="5" width="15.5703125" style="60" customWidth="1"/>
    <col min="6" max="8" width="10.85546875" style="60" customWidth="1"/>
    <col min="9" max="9" width="9.42578125" style="60" customWidth="1"/>
    <col min="10" max="10" width="9.140625" style="60" customWidth="1"/>
    <col min="11" max="11" width="9.42578125" style="60" customWidth="1"/>
    <col min="12" max="12" width="8.7109375" style="60" customWidth="1"/>
    <col min="13" max="13" width="9.28515625" style="60" bestFit="1" customWidth="1"/>
    <col min="14" max="78" width="9.140625" style="60"/>
    <col min="79" max="79" width="6.28515625" style="60" customWidth="1"/>
    <col min="80" max="80" width="5.42578125" style="60" customWidth="1"/>
    <col min="81" max="81" width="32" style="60" bestFit="1" customWidth="1"/>
    <col min="82" max="82" width="14.85546875" style="60" customWidth="1"/>
    <col min="83" max="83" width="22.140625" style="60" customWidth="1"/>
    <col min="84" max="84" width="11.28515625" style="60" bestFit="1" customWidth="1"/>
    <col min="85" max="86" width="11.28515625" style="60" customWidth="1"/>
    <col min="87" max="87" width="11.28515625" style="60" bestFit="1" customWidth="1"/>
    <col min="88" max="90" width="10.28515625" style="60" bestFit="1" customWidth="1"/>
    <col min="91" max="91" width="9.28515625" style="60" bestFit="1" customWidth="1"/>
    <col min="92" max="334" width="9.140625" style="60"/>
    <col min="335" max="335" width="6.28515625" style="60" customWidth="1"/>
    <col min="336" max="336" width="5.42578125" style="60" customWidth="1"/>
    <col min="337" max="337" width="32" style="60" bestFit="1" customWidth="1"/>
    <col min="338" max="338" width="14.85546875" style="60" customWidth="1"/>
    <col min="339" max="339" width="22.140625" style="60" customWidth="1"/>
    <col min="340" max="340" width="11.28515625" style="60" bestFit="1" customWidth="1"/>
    <col min="341" max="342" width="11.28515625" style="60" customWidth="1"/>
    <col min="343" max="343" width="11.28515625" style="60" bestFit="1" customWidth="1"/>
    <col min="344" max="346" width="10.28515625" style="60" bestFit="1" customWidth="1"/>
    <col min="347" max="347" width="9.28515625" style="60" bestFit="1" customWidth="1"/>
    <col min="348" max="590" width="9.140625" style="60"/>
    <col min="591" max="591" width="6.28515625" style="60" customWidth="1"/>
    <col min="592" max="592" width="5.42578125" style="60" customWidth="1"/>
    <col min="593" max="593" width="32" style="60" bestFit="1" customWidth="1"/>
    <col min="594" max="594" width="14.85546875" style="60" customWidth="1"/>
    <col min="595" max="595" width="22.140625" style="60" customWidth="1"/>
    <col min="596" max="596" width="11.28515625" style="60" bestFit="1" customWidth="1"/>
    <col min="597" max="598" width="11.28515625" style="60" customWidth="1"/>
    <col min="599" max="599" width="11.28515625" style="60" bestFit="1" customWidth="1"/>
    <col min="600" max="602" width="10.28515625" style="60" bestFit="1" customWidth="1"/>
    <col min="603" max="603" width="9.28515625" style="60" bestFit="1" customWidth="1"/>
    <col min="604" max="846" width="9.140625" style="60"/>
    <col min="847" max="847" width="6.28515625" style="60" customWidth="1"/>
    <col min="848" max="848" width="5.42578125" style="60" customWidth="1"/>
    <col min="849" max="849" width="32" style="60" bestFit="1" customWidth="1"/>
    <col min="850" max="850" width="14.85546875" style="60" customWidth="1"/>
    <col min="851" max="851" width="22.140625" style="60" customWidth="1"/>
    <col min="852" max="852" width="11.28515625" style="60" bestFit="1" customWidth="1"/>
    <col min="853" max="854" width="11.28515625" style="60" customWidth="1"/>
    <col min="855" max="855" width="11.28515625" style="60" bestFit="1" customWidth="1"/>
    <col min="856" max="858" width="10.28515625" style="60" bestFit="1" customWidth="1"/>
    <col min="859" max="859" width="9.28515625" style="60" bestFit="1" customWidth="1"/>
    <col min="860" max="1102" width="9.140625" style="60"/>
    <col min="1103" max="1103" width="6.28515625" style="60" customWidth="1"/>
    <col min="1104" max="1104" width="5.42578125" style="60" customWidth="1"/>
    <col min="1105" max="1105" width="32" style="60" bestFit="1" customWidth="1"/>
    <col min="1106" max="1106" width="14.85546875" style="60" customWidth="1"/>
    <col min="1107" max="1107" width="22.140625" style="60" customWidth="1"/>
    <col min="1108" max="1108" width="11.28515625" style="60" bestFit="1" customWidth="1"/>
    <col min="1109" max="1110" width="11.28515625" style="60" customWidth="1"/>
    <col min="1111" max="1111" width="11.28515625" style="60" bestFit="1" customWidth="1"/>
    <col min="1112" max="1114" width="10.28515625" style="60" bestFit="1" customWidth="1"/>
    <col min="1115" max="1115" width="9.28515625" style="60" bestFit="1" customWidth="1"/>
    <col min="1116" max="1358" width="9.140625" style="60"/>
    <col min="1359" max="1359" width="6.28515625" style="60" customWidth="1"/>
    <col min="1360" max="1360" width="5.42578125" style="60" customWidth="1"/>
    <col min="1361" max="1361" width="32" style="60" bestFit="1" customWidth="1"/>
    <col min="1362" max="1362" width="14.85546875" style="60" customWidth="1"/>
    <col min="1363" max="1363" width="22.140625" style="60" customWidth="1"/>
    <col min="1364" max="1364" width="11.28515625" style="60" bestFit="1" customWidth="1"/>
    <col min="1365" max="1366" width="11.28515625" style="60" customWidth="1"/>
    <col min="1367" max="1367" width="11.28515625" style="60" bestFit="1" customWidth="1"/>
    <col min="1368" max="1370" width="10.28515625" style="60" bestFit="1" customWidth="1"/>
    <col min="1371" max="1371" width="9.28515625" style="60" bestFit="1" customWidth="1"/>
    <col min="1372" max="1614" width="9.140625" style="60"/>
    <col min="1615" max="1615" width="6.28515625" style="60" customWidth="1"/>
    <col min="1616" max="1616" width="5.42578125" style="60" customWidth="1"/>
    <col min="1617" max="1617" width="32" style="60" bestFit="1" customWidth="1"/>
    <col min="1618" max="1618" width="14.85546875" style="60" customWidth="1"/>
    <col min="1619" max="1619" width="22.140625" style="60" customWidth="1"/>
    <col min="1620" max="1620" width="11.28515625" style="60" bestFit="1" customWidth="1"/>
    <col min="1621" max="1622" width="11.28515625" style="60" customWidth="1"/>
    <col min="1623" max="1623" width="11.28515625" style="60" bestFit="1" customWidth="1"/>
    <col min="1624" max="1626" width="10.28515625" style="60" bestFit="1" customWidth="1"/>
    <col min="1627" max="1627" width="9.28515625" style="60" bestFit="1" customWidth="1"/>
    <col min="1628" max="1870" width="9.140625" style="60"/>
    <col min="1871" max="1871" width="6.28515625" style="60" customWidth="1"/>
    <col min="1872" max="1872" width="5.42578125" style="60" customWidth="1"/>
    <col min="1873" max="1873" width="32" style="60" bestFit="1" customWidth="1"/>
    <col min="1874" max="1874" width="14.85546875" style="60" customWidth="1"/>
    <col min="1875" max="1875" width="22.140625" style="60" customWidth="1"/>
    <col min="1876" max="1876" width="11.28515625" style="60" bestFit="1" customWidth="1"/>
    <col min="1877" max="1878" width="11.28515625" style="60" customWidth="1"/>
    <col min="1879" max="1879" width="11.28515625" style="60" bestFit="1" customWidth="1"/>
    <col min="1880" max="1882" width="10.28515625" style="60" bestFit="1" customWidth="1"/>
    <col min="1883" max="1883" width="9.28515625" style="60" bestFit="1" customWidth="1"/>
    <col min="1884" max="2126" width="9.140625" style="60"/>
    <col min="2127" max="2127" width="6.28515625" style="60" customWidth="1"/>
    <col min="2128" max="2128" width="5.42578125" style="60" customWidth="1"/>
    <col min="2129" max="2129" width="32" style="60" bestFit="1" customWidth="1"/>
    <col min="2130" max="2130" width="14.85546875" style="60" customWidth="1"/>
    <col min="2131" max="2131" width="22.140625" style="60" customWidth="1"/>
    <col min="2132" max="2132" width="11.28515625" style="60" bestFit="1" customWidth="1"/>
    <col min="2133" max="2134" width="11.28515625" style="60" customWidth="1"/>
    <col min="2135" max="2135" width="11.28515625" style="60" bestFit="1" customWidth="1"/>
    <col min="2136" max="2138" width="10.28515625" style="60" bestFit="1" customWidth="1"/>
    <col min="2139" max="2139" width="9.28515625" style="60" bestFit="1" customWidth="1"/>
    <col min="2140" max="2382" width="9.140625" style="60"/>
    <col min="2383" max="2383" width="6.28515625" style="60" customWidth="1"/>
    <col min="2384" max="2384" width="5.42578125" style="60" customWidth="1"/>
    <col min="2385" max="2385" width="32" style="60" bestFit="1" customWidth="1"/>
    <col min="2386" max="2386" width="14.85546875" style="60" customWidth="1"/>
    <col min="2387" max="2387" width="22.140625" style="60" customWidth="1"/>
    <col min="2388" max="2388" width="11.28515625" style="60" bestFit="1" customWidth="1"/>
    <col min="2389" max="2390" width="11.28515625" style="60" customWidth="1"/>
    <col min="2391" max="2391" width="11.28515625" style="60" bestFit="1" customWidth="1"/>
    <col min="2392" max="2394" width="10.28515625" style="60" bestFit="1" customWidth="1"/>
    <col min="2395" max="2395" width="9.28515625" style="60" bestFit="1" customWidth="1"/>
    <col min="2396" max="2638" width="9.140625" style="60"/>
    <col min="2639" max="2639" width="6.28515625" style="60" customWidth="1"/>
    <col min="2640" max="2640" width="5.42578125" style="60" customWidth="1"/>
    <col min="2641" max="2641" width="32" style="60" bestFit="1" customWidth="1"/>
    <col min="2642" max="2642" width="14.85546875" style="60" customWidth="1"/>
    <col min="2643" max="2643" width="22.140625" style="60" customWidth="1"/>
    <col min="2644" max="2644" width="11.28515625" style="60" bestFit="1" customWidth="1"/>
    <col min="2645" max="2646" width="11.28515625" style="60" customWidth="1"/>
    <col min="2647" max="2647" width="11.28515625" style="60" bestFit="1" customWidth="1"/>
    <col min="2648" max="2650" width="10.28515625" style="60" bestFit="1" customWidth="1"/>
    <col min="2651" max="2651" width="9.28515625" style="60" bestFit="1" customWidth="1"/>
    <col min="2652" max="2894" width="9.140625" style="60"/>
    <col min="2895" max="2895" width="6.28515625" style="60" customWidth="1"/>
    <col min="2896" max="2896" width="5.42578125" style="60" customWidth="1"/>
    <col min="2897" max="2897" width="32" style="60" bestFit="1" customWidth="1"/>
    <col min="2898" max="2898" width="14.85546875" style="60" customWidth="1"/>
    <col min="2899" max="2899" width="22.140625" style="60" customWidth="1"/>
    <col min="2900" max="2900" width="11.28515625" style="60" bestFit="1" customWidth="1"/>
    <col min="2901" max="2902" width="11.28515625" style="60" customWidth="1"/>
    <col min="2903" max="2903" width="11.28515625" style="60" bestFit="1" customWidth="1"/>
    <col min="2904" max="2906" width="10.28515625" style="60" bestFit="1" customWidth="1"/>
    <col min="2907" max="2907" width="9.28515625" style="60" bestFit="1" customWidth="1"/>
    <col min="2908" max="3150" width="9.140625" style="60"/>
    <col min="3151" max="3151" width="6.28515625" style="60" customWidth="1"/>
    <col min="3152" max="3152" width="5.42578125" style="60" customWidth="1"/>
    <col min="3153" max="3153" width="32" style="60" bestFit="1" customWidth="1"/>
    <col min="3154" max="3154" width="14.85546875" style="60" customWidth="1"/>
    <col min="3155" max="3155" width="22.140625" style="60" customWidth="1"/>
    <col min="3156" max="3156" width="11.28515625" style="60" bestFit="1" customWidth="1"/>
    <col min="3157" max="3158" width="11.28515625" style="60" customWidth="1"/>
    <col min="3159" max="3159" width="11.28515625" style="60" bestFit="1" customWidth="1"/>
    <col min="3160" max="3162" width="10.28515625" style="60" bestFit="1" customWidth="1"/>
    <col min="3163" max="3163" width="9.28515625" style="60" bestFit="1" customWidth="1"/>
    <col min="3164" max="3406" width="9.140625" style="60"/>
    <col min="3407" max="3407" width="6.28515625" style="60" customWidth="1"/>
    <col min="3408" max="3408" width="5.42578125" style="60" customWidth="1"/>
    <col min="3409" max="3409" width="32" style="60" bestFit="1" customWidth="1"/>
    <col min="3410" max="3410" width="14.85546875" style="60" customWidth="1"/>
    <col min="3411" max="3411" width="22.140625" style="60" customWidth="1"/>
    <col min="3412" max="3412" width="11.28515625" style="60" bestFit="1" customWidth="1"/>
    <col min="3413" max="3414" width="11.28515625" style="60" customWidth="1"/>
    <col min="3415" max="3415" width="11.28515625" style="60" bestFit="1" customWidth="1"/>
    <col min="3416" max="3418" width="10.28515625" style="60" bestFit="1" customWidth="1"/>
    <col min="3419" max="3419" width="9.28515625" style="60" bestFit="1" customWidth="1"/>
    <col min="3420" max="3662" width="9.140625" style="60"/>
    <col min="3663" max="3663" width="6.28515625" style="60" customWidth="1"/>
    <col min="3664" max="3664" width="5.42578125" style="60" customWidth="1"/>
    <col min="3665" max="3665" width="32" style="60" bestFit="1" customWidth="1"/>
    <col min="3666" max="3666" width="14.85546875" style="60" customWidth="1"/>
    <col min="3667" max="3667" width="22.140625" style="60" customWidth="1"/>
    <col min="3668" max="3668" width="11.28515625" style="60" bestFit="1" customWidth="1"/>
    <col min="3669" max="3670" width="11.28515625" style="60" customWidth="1"/>
    <col min="3671" max="3671" width="11.28515625" style="60" bestFit="1" customWidth="1"/>
    <col min="3672" max="3674" width="10.28515625" style="60" bestFit="1" customWidth="1"/>
    <col min="3675" max="3675" width="9.28515625" style="60" bestFit="1" customWidth="1"/>
    <col min="3676" max="3918" width="9.140625" style="60"/>
    <col min="3919" max="3919" width="6.28515625" style="60" customWidth="1"/>
    <col min="3920" max="3920" width="5.42578125" style="60" customWidth="1"/>
    <col min="3921" max="3921" width="32" style="60" bestFit="1" customWidth="1"/>
    <col min="3922" max="3922" width="14.85546875" style="60" customWidth="1"/>
    <col min="3923" max="3923" width="22.140625" style="60" customWidth="1"/>
    <col min="3924" max="3924" width="11.28515625" style="60" bestFit="1" customWidth="1"/>
    <col min="3925" max="3926" width="11.28515625" style="60" customWidth="1"/>
    <col min="3927" max="3927" width="11.28515625" style="60" bestFit="1" customWidth="1"/>
    <col min="3928" max="3930" width="10.28515625" style="60" bestFit="1" customWidth="1"/>
    <col min="3931" max="3931" width="9.28515625" style="60" bestFit="1" customWidth="1"/>
    <col min="3932" max="4174" width="9.140625" style="60"/>
    <col min="4175" max="4175" width="6.28515625" style="60" customWidth="1"/>
    <col min="4176" max="4176" width="5.42578125" style="60" customWidth="1"/>
    <col min="4177" max="4177" width="32" style="60" bestFit="1" customWidth="1"/>
    <col min="4178" max="4178" width="14.85546875" style="60" customWidth="1"/>
    <col min="4179" max="4179" width="22.140625" style="60" customWidth="1"/>
    <col min="4180" max="4180" width="11.28515625" style="60" bestFit="1" customWidth="1"/>
    <col min="4181" max="4182" width="11.28515625" style="60" customWidth="1"/>
    <col min="4183" max="4183" width="11.28515625" style="60" bestFit="1" customWidth="1"/>
    <col min="4184" max="4186" width="10.28515625" style="60" bestFit="1" customWidth="1"/>
    <col min="4187" max="4187" width="9.28515625" style="60" bestFit="1" customWidth="1"/>
    <col min="4188" max="4430" width="9.140625" style="60"/>
    <col min="4431" max="4431" width="6.28515625" style="60" customWidth="1"/>
    <col min="4432" max="4432" width="5.42578125" style="60" customWidth="1"/>
    <col min="4433" max="4433" width="32" style="60" bestFit="1" customWidth="1"/>
    <col min="4434" max="4434" width="14.85546875" style="60" customWidth="1"/>
    <col min="4435" max="4435" width="22.140625" style="60" customWidth="1"/>
    <col min="4436" max="4436" width="11.28515625" style="60" bestFit="1" customWidth="1"/>
    <col min="4437" max="4438" width="11.28515625" style="60" customWidth="1"/>
    <col min="4439" max="4439" width="11.28515625" style="60" bestFit="1" customWidth="1"/>
    <col min="4440" max="4442" width="10.28515625" style="60" bestFit="1" customWidth="1"/>
    <col min="4443" max="4443" width="9.28515625" style="60" bestFit="1" customWidth="1"/>
    <col min="4444" max="4686" width="9.140625" style="60"/>
    <col min="4687" max="4687" width="6.28515625" style="60" customWidth="1"/>
    <col min="4688" max="4688" width="5.42578125" style="60" customWidth="1"/>
    <col min="4689" max="4689" width="32" style="60" bestFit="1" customWidth="1"/>
    <col min="4690" max="4690" width="14.85546875" style="60" customWidth="1"/>
    <col min="4691" max="4691" width="22.140625" style="60" customWidth="1"/>
    <col min="4692" max="4692" width="11.28515625" style="60" bestFit="1" customWidth="1"/>
    <col min="4693" max="4694" width="11.28515625" style="60" customWidth="1"/>
    <col min="4695" max="4695" width="11.28515625" style="60" bestFit="1" customWidth="1"/>
    <col min="4696" max="4698" width="10.28515625" style="60" bestFit="1" customWidth="1"/>
    <col min="4699" max="4699" width="9.28515625" style="60" bestFit="1" customWidth="1"/>
    <col min="4700" max="4942" width="9.140625" style="60"/>
    <col min="4943" max="4943" width="6.28515625" style="60" customWidth="1"/>
    <col min="4944" max="4944" width="5.42578125" style="60" customWidth="1"/>
    <col min="4945" max="4945" width="32" style="60" bestFit="1" customWidth="1"/>
    <col min="4946" max="4946" width="14.85546875" style="60" customWidth="1"/>
    <col min="4947" max="4947" width="22.140625" style="60" customWidth="1"/>
    <col min="4948" max="4948" width="11.28515625" style="60" bestFit="1" customWidth="1"/>
    <col min="4949" max="4950" width="11.28515625" style="60" customWidth="1"/>
    <col min="4951" max="4951" width="11.28515625" style="60" bestFit="1" customWidth="1"/>
    <col min="4952" max="4954" width="10.28515625" style="60" bestFit="1" customWidth="1"/>
    <col min="4955" max="4955" width="9.28515625" style="60" bestFit="1" customWidth="1"/>
    <col min="4956" max="5198" width="9.140625" style="60"/>
    <col min="5199" max="5199" width="6.28515625" style="60" customWidth="1"/>
    <col min="5200" max="5200" width="5.42578125" style="60" customWidth="1"/>
    <col min="5201" max="5201" width="32" style="60" bestFit="1" customWidth="1"/>
    <col min="5202" max="5202" width="14.85546875" style="60" customWidth="1"/>
    <col min="5203" max="5203" width="22.140625" style="60" customWidth="1"/>
    <col min="5204" max="5204" width="11.28515625" style="60" bestFit="1" customWidth="1"/>
    <col min="5205" max="5206" width="11.28515625" style="60" customWidth="1"/>
    <col min="5207" max="5207" width="11.28515625" style="60" bestFit="1" customWidth="1"/>
    <col min="5208" max="5210" width="10.28515625" style="60" bestFit="1" customWidth="1"/>
    <col min="5211" max="5211" width="9.28515625" style="60" bestFit="1" customWidth="1"/>
    <col min="5212" max="5454" width="9.140625" style="60"/>
    <col min="5455" max="5455" width="6.28515625" style="60" customWidth="1"/>
    <col min="5456" max="5456" width="5.42578125" style="60" customWidth="1"/>
    <col min="5457" max="5457" width="32" style="60" bestFit="1" customWidth="1"/>
    <col min="5458" max="5458" width="14.85546875" style="60" customWidth="1"/>
    <col min="5459" max="5459" width="22.140625" style="60" customWidth="1"/>
    <col min="5460" max="5460" width="11.28515625" style="60" bestFit="1" customWidth="1"/>
    <col min="5461" max="5462" width="11.28515625" style="60" customWidth="1"/>
    <col min="5463" max="5463" width="11.28515625" style="60" bestFit="1" customWidth="1"/>
    <col min="5464" max="5466" width="10.28515625" style="60" bestFit="1" customWidth="1"/>
    <col min="5467" max="5467" width="9.28515625" style="60" bestFit="1" customWidth="1"/>
    <col min="5468" max="5710" width="9.140625" style="60"/>
    <col min="5711" max="5711" width="6.28515625" style="60" customWidth="1"/>
    <col min="5712" max="5712" width="5.42578125" style="60" customWidth="1"/>
    <col min="5713" max="5713" width="32" style="60" bestFit="1" customWidth="1"/>
    <col min="5714" max="5714" width="14.85546875" style="60" customWidth="1"/>
    <col min="5715" max="5715" width="22.140625" style="60" customWidth="1"/>
    <col min="5716" max="5716" width="11.28515625" style="60" bestFit="1" customWidth="1"/>
    <col min="5717" max="5718" width="11.28515625" style="60" customWidth="1"/>
    <col min="5719" max="5719" width="11.28515625" style="60" bestFit="1" customWidth="1"/>
    <col min="5720" max="5722" width="10.28515625" style="60" bestFit="1" customWidth="1"/>
    <col min="5723" max="5723" width="9.28515625" style="60" bestFit="1" customWidth="1"/>
    <col min="5724" max="5966" width="9.140625" style="60"/>
    <col min="5967" max="5967" width="6.28515625" style="60" customWidth="1"/>
    <col min="5968" max="5968" width="5.42578125" style="60" customWidth="1"/>
    <col min="5969" max="5969" width="32" style="60" bestFit="1" customWidth="1"/>
    <col min="5970" max="5970" width="14.85546875" style="60" customWidth="1"/>
    <col min="5971" max="5971" width="22.140625" style="60" customWidth="1"/>
    <col min="5972" max="5972" width="11.28515625" style="60" bestFit="1" customWidth="1"/>
    <col min="5973" max="5974" width="11.28515625" style="60" customWidth="1"/>
    <col min="5975" max="5975" width="11.28515625" style="60" bestFit="1" customWidth="1"/>
    <col min="5976" max="5978" width="10.28515625" style="60" bestFit="1" customWidth="1"/>
    <col min="5979" max="5979" width="9.28515625" style="60" bestFit="1" customWidth="1"/>
    <col min="5980" max="6222" width="9.140625" style="60"/>
    <col min="6223" max="6223" width="6.28515625" style="60" customWidth="1"/>
    <col min="6224" max="6224" width="5.42578125" style="60" customWidth="1"/>
    <col min="6225" max="6225" width="32" style="60" bestFit="1" customWidth="1"/>
    <col min="6226" max="6226" width="14.85546875" style="60" customWidth="1"/>
    <col min="6227" max="6227" width="22.140625" style="60" customWidth="1"/>
    <col min="6228" max="6228" width="11.28515625" style="60" bestFit="1" customWidth="1"/>
    <col min="6229" max="6230" width="11.28515625" style="60" customWidth="1"/>
    <col min="6231" max="6231" width="11.28515625" style="60" bestFit="1" customWidth="1"/>
    <col min="6232" max="6234" width="10.28515625" style="60" bestFit="1" customWidth="1"/>
    <col min="6235" max="6235" width="9.28515625" style="60" bestFit="1" customWidth="1"/>
    <col min="6236" max="6478" width="9.140625" style="60"/>
    <col min="6479" max="6479" width="6.28515625" style="60" customWidth="1"/>
    <col min="6480" max="6480" width="5.42578125" style="60" customWidth="1"/>
    <col min="6481" max="6481" width="32" style="60" bestFit="1" customWidth="1"/>
    <col min="6482" max="6482" width="14.85546875" style="60" customWidth="1"/>
    <col min="6483" max="6483" width="22.140625" style="60" customWidth="1"/>
    <col min="6484" max="6484" width="11.28515625" style="60" bestFit="1" customWidth="1"/>
    <col min="6485" max="6486" width="11.28515625" style="60" customWidth="1"/>
    <col min="6487" max="6487" width="11.28515625" style="60" bestFit="1" customWidth="1"/>
    <col min="6488" max="6490" width="10.28515625" style="60" bestFit="1" customWidth="1"/>
    <col min="6491" max="6491" width="9.28515625" style="60" bestFit="1" customWidth="1"/>
    <col min="6492" max="6734" width="9.140625" style="60"/>
    <col min="6735" max="6735" width="6.28515625" style="60" customWidth="1"/>
    <col min="6736" max="6736" width="5.42578125" style="60" customWidth="1"/>
    <col min="6737" max="6737" width="32" style="60" bestFit="1" customWidth="1"/>
    <col min="6738" max="6738" width="14.85546875" style="60" customWidth="1"/>
    <col min="6739" max="6739" width="22.140625" style="60" customWidth="1"/>
    <col min="6740" max="6740" width="11.28515625" style="60" bestFit="1" customWidth="1"/>
    <col min="6741" max="6742" width="11.28515625" style="60" customWidth="1"/>
    <col min="6743" max="6743" width="11.28515625" style="60" bestFit="1" customWidth="1"/>
    <col min="6744" max="6746" width="10.28515625" style="60" bestFit="1" customWidth="1"/>
    <col min="6747" max="6747" width="9.28515625" style="60" bestFit="1" customWidth="1"/>
    <col min="6748" max="6990" width="9.140625" style="60"/>
    <col min="6991" max="6991" width="6.28515625" style="60" customWidth="1"/>
    <col min="6992" max="6992" width="5.42578125" style="60" customWidth="1"/>
    <col min="6993" max="6993" width="32" style="60" bestFit="1" customWidth="1"/>
    <col min="6994" max="6994" width="14.85546875" style="60" customWidth="1"/>
    <col min="6995" max="6995" width="22.140625" style="60" customWidth="1"/>
    <col min="6996" max="6996" width="11.28515625" style="60" bestFit="1" customWidth="1"/>
    <col min="6997" max="6998" width="11.28515625" style="60" customWidth="1"/>
    <col min="6999" max="6999" width="11.28515625" style="60" bestFit="1" customWidth="1"/>
    <col min="7000" max="7002" width="10.28515625" style="60" bestFit="1" customWidth="1"/>
    <col min="7003" max="7003" width="9.28515625" style="60" bestFit="1" customWidth="1"/>
    <col min="7004" max="7246" width="9.140625" style="60"/>
    <col min="7247" max="7247" width="6.28515625" style="60" customWidth="1"/>
    <col min="7248" max="7248" width="5.42578125" style="60" customWidth="1"/>
    <col min="7249" max="7249" width="32" style="60" bestFit="1" customWidth="1"/>
    <col min="7250" max="7250" width="14.85546875" style="60" customWidth="1"/>
    <col min="7251" max="7251" width="22.140625" style="60" customWidth="1"/>
    <col min="7252" max="7252" width="11.28515625" style="60" bestFit="1" customWidth="1"/>
    <col min="7253" max="7254" width="11.28515625" style="60" customWidth="1"/>
    <col min="7255" max="7255" width="11.28515625" style="60" bestFit="1" customWidth="1"/>
    <col min="7256" max="7258" width="10.28515625" style="60" bestFit="1" customWidth="1"/>
    <col min="7259" max="7259" width="9.28515625" style="60" bestFit="1" customWidth="1"/>
    <col min="7260" max="7502" width="9.140625" style="60"/>
    <col min="7503" max="7503" width="6.28515625" style="60" customWidth="1"/>
    <col min="7504" max="7504" width="5.42578125" style="60" customWidth="1"/>
    <col min="7505" max="7505" width="32" style="60" bestFit="1" customWidth="1"/>
    <col min="7506" max="7506" width="14.85546875" style="60" customWidth="1"/>
    <col min="7507" max="7507" width="22.140625" style="60" customWidth="1"/>
    <col min="7508" max="7508" width="11.28515625" style="60" bestFit="1" customWidth="1"/>
    <col min="7509" max="7510" width="11.28515625" style="60" customWidth="1"/>
    <col min="7511" max="7511" width="11.28515625" style="60" bestFit="1" customWidth="1"/>
    <col min="7512" max="7514" width="10.28515625" style="60" bestFit="1" customWidth="1"/>
    <col min="7515" max="7515" width="9.28515625" style="60" bestFit="1" customWidth="1"/>
    <col min="7516" max="7758" width="9.140625" style="60"/>
    <col min="7759" max="7759" width="6.28515625" style="60" customWidth="1"/>
    <col min="7760" max="7760" width="5.42578125" style="60" customWidth="1"/>
    <col min="7761" max="7761" width="32" style="60" bestFit="1" customWidth="1"/>
    <col min="7762" max="7762" width="14.85546875" style="60" customWidth="1"/>
    <col min="7763" max="7763" width="22.140625" style="60" customWidth="1"/>
    <col min="7764" max="7764" width="11.28515625" style="60" bestFit="1" customWidth="1"/>
    <col min="7765" max="7766" width="11.28515625" style="60" customWidth="1"/>
    <col min="7767" max="7767" width="11.28515625" style="60" bestFit="1" customWidth="1"/>
    <col min="7768" max="7770" width="10.28515625" style="60" bestFit="1" customWidth="1"/>
    <col min="7771" max="7771" width="9.28515625" style="60" bestFit="1" customWidth="1"/>
    <col min="7772" max="8014" width="9.140625" style="60"/>
    <col min="8015" max="8015" width="6.28515625" style="60" customWidth="1"/>
    <col min="8016" max="8016" width="5.42578125" style="60" customWidth="1"/>
    <col min="8017" max="8017" width="32" style="60" bestFit="1" customWidth="1"/>
    <col min="8018" max="8018" width="14.85546875" style="60" customWidth="1"/>
    <col min="8019" max="8019" width="22.140625" style="60" customWidth="1"/>
    <col min="8020" max="8020" width="11.28515625" style="60" bestFit="1" customWidth="1"/>
    <col min="8021" max="8022" width="11.28515625" style="60" customWidth="1"/>
    <col min="8023" max="8023" width="11.28515625" style="60" bestFit="1" customWidth="1"/>
    <col min="8024" max="8026" width="10.28515625" style="60" bestFit="1" customWidth="1"/>
    <col min="8027" max="8027" width="9.28515625" style="60" bestFit="1" customWidth="1"/>
    <col min="8028" max="8270" width="9.140625" style="60"/>
    <col min="8271" max="8271" width="6.28515625" style="60" customWidth="1"/>
    <col min="8272" max="8272" width="5.42578125" style="60" customWidth="1"/>
    <col min="8273" max="8273" width="32" style="60" bestFit="1" customWidth="1"/>
    <col min="8274" max="8274" width="14.85546875" style="60" customWidth="1"/>
    <col min="8275" max="8275" width="22.140625" style="60" customWidth="1"/>
    <col min="8276" max="8276" width="11.28515625" style="60" bestFit="1" customWidth="1"/>
    <col min="8277" max="8278" width="11.28515625" style="60" customWidth="1"/>
    <col min="8279" max="8279" width="11.28515625" style="60" bestFit="1" customWidth="1"/>
    <col min="8280" max="8282" width="10.28515625" style="60" bestFit="1" customWidth="1"/>
    <col min="8283" max="8283" width="9.28515625" style="60" bestFit="1" customWidth="1"/>
    <col min="8284" max="8526" width="9.140625" style="60"/>
    <col min="8527" max="8527" width="6.28515625" style="60" customWidth="1"/>
    <col min="8528" max="8528" width="5.42578125" style="60" customWidth="1"/>
    <col min="8529" max="8529" width="32" style="60" bestFit="1" customWidth="1"/>
    <col min="8530" max="8530" width="14.85546875" style="60" customWidth="1"/>
    <col min="8531" max="8531" width="22.140625" style="60" customWidth="1"/>
    <col min="8532" max="8532" width="11.28515625" style="60" bestFit="1" customWidth="1"/>
    <col min="8533" max="8534" width="11.28515625" style="60" customWidth="1"/>
    <col min="8535" max="8535" width="11.28515625" style="60" bestFit="1" customWidth="1"/>
    <col min="8536" max="8538" width="10.28515625" style="60" bestFit="1" customWidth="1"/>
    <col min="8539" max="8539" width="9.28515625" style="60" bestFit="1" customWidth="1"/>
    <col min="8540" max="8782" width="9.140625" style="60"/>
    <col min="8783" max="8783" width="6.28515625" style="60" customWidth="1"/>
    <col min="8784" max="8784" width="5.42578125" style="60" customWidth="1"/>
    <col min="8785" max="8785" width="32" style="60" bestFit="1" customWidth="1"/>
    <col min="8786" max="8786" width="14.85546875" style="60" customWidth="1"/>
    <col min="8787" max="8787" width="22.140625" style="60" customWidth="1"/>
    <col min="8788" max="8788" width="11.28515625" style="60" bestFit="1" customWidth="1"/>
    <col min="8789" max="8790" width="11.28515625" style="60" customWidth="1"/>
    <col min="8791" max="8791" width="11.28515625" style="60" bestFit="1" customWidth="1"/>
    <col min="8792" max="8794" width="10.28515625" style="60" bestFit="1" customWidth="1"/>
    <col min="8795" max="8795" width="9.28515625" style="60" bestFit="1" customWidth="1"/>
    <col min="8796" max="9038" width="9.140625" style="60"/>
    <col min="9039" max="9039" width="6.28515625" style="60" customWidth="1"/>
    <col min="9040" max="9040" width="5.42578125" style="60" customWidth="1"/>
    <col min="9041" max="9041" width="32" style="60" bestFit="1" customWidth="1"/>
    <col min="9042" max="9042" width="14.85546875" style="60" customWidth="1"/>
    <col min="9043" max="9043" width="22.140625" style="60" customWidth="1"/>
    <col min="9044" max="9044" width="11.28515625" style="60" bestFit="1" customWidth="1"/>
    <col min="9045" max="9046" width="11.28515625" style="60" customWidth="1"/>
    <col min="9047" max="9047" width="11.28515625" style="60" bestFit="1" customWidth="1"/>
    <col min="9048" max="9050" width="10.28515625" style="60" bestFit="1" customWidth="1"/>
    <col min="9051" max="9051" width="9.28515625" style="60" bestFit="1" customWidth="1"/>
    <col min="9052" max="9294" width="9.140625" style="60"/>
    <col min="9295" max="9295" width="6.28515625" style="60" customWidth="1"/>
    <col min="9296" max="9296" width="5.42578125" style="60" customWidth="1"/>
    <col min="9297" max="9297" width="32" style="60" bestFit="1" customWidth="1"/>
    <col min="9298" max="9298" width="14.85546875" style="60" customWidth="1"/>
    <col min="9299" max="9299" width="22.140625" style="60" customWidth="1"/>
    <col min="9300" max="9300" width="11.28515625" style="60" bestFit="1" customWidth="1"/>
    <col min="9301" max="9302" width="11.28515625" style="60" customWidth="1"/>
    <col min="9303" max="9303" width="11.28515625" style="60" bestFit="1" customWidth="1"/>
    <col min="9304" max="9306" width="10.28515625" style="60" bestFit="1" customWidth="1"/>
    <col min="9307" max="9307" width="9.28515625" style="60" bestFit="1" customWidth="1"/>
    <col min="9308" max="9550" width="9.140625" style="60"/>
    <col min="9551" max="9551" width="6.28515625" style="60" customWidth="1"/>
    <col min="9552" max="9552" width="5.42578125" style="60" customWidth="1"/>
    <col min="9553" max="9553" width="32" style="60" bestFit="1" customWidth="1"/>
    <col min="9554" max="9554" width="14.85546875" style="60" customWidth="1"/>
    <col min="9555" max="9555" width="22.140625" style="60" customWidth="1"/>
    <col min="9556" max="9556" width="11.28515625" style="60" bestFit="1" customWidth="1"/>
    <col min="9557" max="9558" width="11.28515625" style="60" customWidth="1"/>
    <col min="9559" max="9559" width="11.28515625" style="60" bestFit="1" customWidth="1"/>
    <col min="9560" max="9562" width="10.28515625" style="60" bestFit="1" customWidth="1"/>
    <col min="9563" max="9563" width="9.28515625" style="60" bestFit="1" customWidth="1"/>
    <col min="9564" max="9806" width="9.140625" style="60"/>
    <col min="9807" max="9807" width="6.28515625" style="60" customWidth="1"/>
    <col min="9808" max="9808" width="5.42578125" style="60" customWidth="1"/>
    <col min="9809" max="9809" width="32" style="60" bestFit="1" customWidth="1"/>
    <col min="9810" max="9810" width="14.85546875" style="60" customWidth="1"/>
    <col min="9811" max="9811" width="22.140625" style="60" customWidth="1"/>
    <col min="9812" max="9812" width="11.28515625" style="60" bestFit="1" customWidth="1"/>
    <col min="9813" max="9814" width="11.28515625" style="60" customWidth="1"/>
    <col min="9815" max="9815" width="11.28515625" style="60" bestFit="1" customWidth="1"/>
    <col min="9816" max="9818" width="10.28515625" style="60" bestFit="1" customWidth="1"/>
    <col min="9819" max="9819" width="9.28515625" style="60" bestFit="1" customWidth="1"/>
    <col min="9820" max="10062" width="9.140625" style="60"/>
    <col min="10063" max="10063" width="6.28515625" style="60" customWidth="1"/>
    <col min="10064" max="10064" width="5.42578125" style="60" customWidth="1"/>
    <col min="10065" max="10065" width="32" style="60" bestFit="1" customWidth="1"/>
    <col min="10066" max="10066" width="14.85546875" style="60" customWidth="1"/>
    <col min="10067" max="10067" width="22.140625" style="60" customWidth="1"/>
    <col min="10068" max="10068" width="11.28515625" style="60" bestFit="1" customWidth="1"/>
    <col min="10069" max="10070" width="11.28515625" style="60" customWidth="1"/>
    <col min="10071" max="10071" width="11.28515625" style="60" bestFit="1" customWidth="1"/>
    <col min="10072" max="10074" width="10.28515625" style="60" bestFit="1" customWidth="1"/>
    <col min="10075" max="10075" width="9.28515625" style="60" bestFit="1" customWidth="1"/>
    <col min="10076" max="10318" width="9.140625" style="60"/>
    <col min="10319" max="10319" width="6.28515625" style="60" customWidth="1"/>
    <col min="10320" max="10320" width="5.42578125" style="60" customWidth="1"/>
    <col min="10321" max="10321" width="32" style="60" bestFit="1" customWidth="1"/>
    <col min="10322" max="10322" width="14.85546875" style="60" customWidth="1"/>
    <col min="10323" max="10323" width="22.140625" style="60" customWidth="1"/>
    <col min="10324" max="10324" width="11.28515625" style="60" bestFit="1" customWidth="1"/>
    <col min="10325" max="10326" width="11.28515625" style="60" customWidth="1"/>
    <col min="10327" max="10327" width="11.28515625" style="60" bestFit="1" customWidth="1"/>
    <col min="10328" max="10330" width="10.28515625" style="60" bestFit="1" customWidth="1"/>
    <col min="10331" max="10331" width="9.28515625" style="60" bestFit="1" customWidth="1"/>
    <col min="10332" max="10574" width="9.140625" style="60"/>
    <col min="10575" max="10575" width="6.28515625" style="60" customWidth="1"/>
    <col min="10576" max="10576" width="5.42578125" style="60" customWidth="1"/>
    <col min="10577" max="10577" width="32" style="60" bestFit="1" customWidth="1"/>
    <col min="10578" max="10578" width="14.85546875" style="60" customWidth="1"/>
    <col min="10579" max="10579" width="22.140625" style="60" customWidth="1"/>
    <col min="10580" max="10580" width="11.28515625" style="60" bestFit="1" customWidth="1"/>
    <col min="10581" max="10582" width="11.28515625" style="60" customWidth="1"/>
    <col min="10583" max="10583" width="11.28515625" style="60" bestFit="1" customWidth="1"/>
    <col min="10584" max="10586" width="10.28515625" style="60" bestFit="1" customWidth="1"/>
    <col min="10587" max="10587" width="9.28515625" style="60" bestFit="1" customWidth="1"/>
    <col min="10588" max="10830" width="9.140625" style="60"/>
    <col min="10831" max="10831" width="6.28515625" style="60" customWidth="1"/>
    <col min="10832" max="10832" width="5.42578125" style="60" customWidth="1"/>
    <col min="10833" max="10833" width="32" style="60" bestFit="1" customWidth="1"/>
    <col min="10834" max="10834" width="14.85546875" style="60" customWidth="1"/>
    <col min="10835" max="10835" width="22.140625" style="60" customWidth="1"/>
    <col min="10836" max="10836" width="11.28515625" style="60" bestFit="1" customWidth="1"/>
    <col min="10837" max="10838" width="11.28515625" style="60" customWidth="1"/>
    <col min="10839" max="10839" width="11.28515625" style="60" bestFit="1" customWidth="1"/>
    <col min="10840" max="10842" width="10.28515625" style="60" bestFit="1" customWidth="1"/>
    <col min="10843" max="10843" width="9.28515625" style="60" bestFit="1" customWidth="1"/>
    <col min="10844" max="11086" width="9.140625" style="60"/>
    <col min="11087" max="11087" width="6.28515625" style="60" customWidth="1"/>
    <col min="11088" max="11088" width="5.42578125" style="60" customWidth="1"/>
    <col min="11089" max="11089" width="32" style="60" bestFit="1" customWidth="1"/>
    <col min="11090" max="11090" width="14.85546875" style="60" customWidth="1"/>
    <col min="11091" max="11091" width="22.140625" style="60" customWidth="1"/>
    <col min="11092" max="11092" width="11.28515625" style="60" bestFit="1" customWidth="1"/>
    <col min="11093" max="11094" width="11.28515625" style="60" customWidth="1"/>
    <col min="11095" max="11095" width="11.28515625" style="60" bestFit="1" customWidth="1"/>
    <col min="11096" max="11098" width="10.28515625" style="60" bestFit="1" customWidth="1"/>
    <col min="11099" max="11099" width="9.28515625" style="60" bestFit="1" customWidth="1"/>
    <col min="11100" max="11342" width="9.140625" style="60"/>
    <col min="11343" max="11343" width="6.28515625" style="60" customWidth="1"/>
    <col min="11344" max="11344" width="5.42578125" style="60" customWidth="1"/>
    <col min="11345" max="11345" width="32" style="60" bestFit="1" customWidth="1"/>
    <col min="11346" max="11346" width="14.85546875" style="60" customWidth="1"/>
    <col min="11347" max="11347" width="22.140625" style="60" customWidth="1"/>
    <col min="11348" max="11348" width="11.28515625" style="60" bestFit="1" customWidth="1"/>
    <col min="11349" max="11350" width="11.28515625" style="60" customWidth="1"/>
    <col min="11351" max="11351" width="11.28515625" style="60" bestFit="1" customWidth="1"/>
    <col min="11352" max="11354" width="10.28515625" style="60" bestFit="1" customWidth="1"/>
    <col min="11355" max="11355" width="9.28515625" style="60" bestFit="1" customWidth="1"/>
    <col min="11356" max="11598" width="9.140625" style="60"/>
    <col min="11599" max="11599" width="6.28515625" style="60" customWidth="1"/>
    <col min="11600" max="11600" width="5.42578125" style="60" customWidth="1"/>
    <col min="11601" max="11601" width="32" style="60" bestFit="1" customWidth="1"/>
    <col min="11602" max="11602" width="14.85546875" style="60" customWidth="1"/>
    <col min="11603" max="11603" width="22.140625" style="60" customWidth="1"/>
    <col min="11604" max="11604" width="11.28515625" style="60" bestFit="1" customWidth="1"/>
    <col min="11605" max="11606" width="11.28515625" style="60" customWidth="1"/>
    <col min="11607" max="11607" width="11.28515625" style="60" bestFit="1" customWidth="1"/>
    <col min="11608" max="11610" width="10.28515625" style="60" bestFit="1" customWidth="1"/>
    <col min="11611" max="11611" width="9.28515625" style="60" bestFit="1" customWidth="1"/>
    <col min="11612" max="11854" width="9.140625" style="60"/>
    <col min="11855" max="11855" width="6.28515625" style="60" customWidth="1"/>
    <col min="11856" max="11856" width="5.42578125" style="60" customWidth="1"/>
    <col min="11857" max="11857" width="32" style="60" bestFit="1" customWidth="1"/>
    <col min="11858" max="11858" width="14.85546875" style="60" customWidth="1"/>
    <col min="11859" max="11859" width="22.140625" style="60" customWidth="1"/>
    <col min="11860" max="11860" width="11.28515625" style="60" bestFit="1" customWidth="1"/>
    <col min="11861" max="11862" width="11.28515625" style="60" customWidth="1"/>
    <col min="11863" max="11863" width="11.28515625" style="60" bestFit="1" customWidth="1"/>
    <col min="11864" max="11866" width="10.28515625" style="60" bestFit="1" customWidth="1"/>
    <col min="11867" max="11867" width="9.28515625" style="60" bestFit="1" customWidth="1"/>
    <col min="11868" max="12110" width="9.140625" style="60"/>
    <col min="12111" max="12111" width="6.28515625" style="60" customWidth="1"/>
    <col min="12112" max="12112" width="5.42578125" style="60" customWidth="1"/>
    <col min="12113" max="12113" width="32" style="60" bestFit="1" customWidth="1"/>
    <col min="12114" max="12114" width="14.85546875" style="60" customWidth="1"/>
    <col min="12115" max="12115" width="22.140625" style="60" customWidth="1"/>
    <col min="12116" max="12116" width="11.28515625" style="60" bestFit="1" customWidth="1"/>
    <col min="12117" max="12118" width="11.28515625" style="60" customWidth="1"/>
    <col min="12119" max="12119" width="11.28515625" style="60" bestFit="1" customWidth="1"/>
    <col min="12120" max="12122" width="10.28515625" style="60" bestFit="1" customWidth="1"/>
    <col min="12123" max="12123" width="9.28515625" style="60" bestFit="1" customWidth="1"/>
    <col min="12124" max="12366" width="9.140625" style="60"/>
    <col min="12367" max="12367" width="6.28515625" style="60" customWidth="1"/>
    <col min="12368" max="12368" width="5.42578125" style="60" customWidth="1"/>
    <col min="12369" max="12369" width="32" style="60" bestFit="1" customWidth="1"/>
    <col min="12370" max="12370" width="14.85546875" style="60" customWidth="1"/>
    <col min="12371" max="12371" width="22.140625" style="60" customWidth="1"/>
    <col min="12372" max="12372" width="11.28515625" style="60" bestFit="1" customWidth="1"/>
    <col min="12373" max="12374" width="11.28515625" style="60" customWidth="1"/>
    <col min="12375" max="12375" width="11.28515625" style="60" bestFit="1" customWidth="1"/>
    <col min="12376" max="12378" width="10.28515625" style="60" bestFit="1" customWidth="1"/>
    <col min="12379" max="12379" width="9.28515625" style="60" bestFit="1" customWidth="1"/>
    <col min="12380" max="12622" width="9.140625" style="60"/>
    <col min="12623" max="12623" width="6.28515625" style="60" customWidth="1"/>
    <col min="12624" max="12624" width="5.42578125" style="60" customWidth="1"/>
    <col min="12625" max="12625" width="32" style="60" bestFit="1" customWidth="1"/>
    <col min="12626" max="12626" width="14.85546875" style="60" customWidth="1"/>
    <col min="12627" max="12627" width="22.140625" style="60" customWidth="1"/>
    <col min="12628" max="12628" width="11.28515625" style="60" bestFit="1" customWidth="1"/>
    <col min="12629" max="12630" width="11.28515625" style="60" customWidth="1"/>
    <col min="12631" max="12631" width="11.28515625" style="60" bestFit="1" customWidth="1"/>
    <col min="12632" max="12634" width="10.28515625" style="60" bestFit="1" customWidth="1"/>
    <col min="12635" max="12635" width="9.28515625" style="60" bestFit="1" customWidth="1"/>
    <col min="12636" max="12878" width="9.140625" style="60"/>
    <col min="12879" max="12879" width="6.28515625" style="60" customWidth="1"/>
    <col min="12880" max="12880" width="5.42578125" style="60" customWidth="1"/>
    <col min="12881" max="12881" width="32" style="60" bestFit="1" customWidth="1"/>
    <col min="12882" max="12882" width="14.85546875" style="60" customWidth="1"/>
    <col min="12883" max="12883" width="22.140625" style="60" customWidth="1"/>
    <col min="12884" max="12884" width="11.28515625" style="60" bestFit="1" customWidth="1"/>
    <col min="12885" max="12886" width="11.28515625" style="60" customWidth="1"/>
    <col min="12887" max="12887" width="11.28515625" style="60" bestFit="1" customWidth="1"/>
    <col min="12888" max="12890" width="10.28515625" style="60" bestFit="1" customWidth="1"/>
    <col min="12891" max="12891" width="9.28515625" style="60" bestFit="1" customWidth="1"/>
    <col min="12892" max="13134" width="9.140625" style="60"/>
    <col min="13135" max="13135" width="6.28515625" style="60" customWidth="1"/>
    <col min="13136" max="13136" width="5.42578125" style="60" customWidth="1"/>
    <col min="13137" max="13137" width="32" style="60" bestFit="1" customWidth="1"/>
    <col min="13138" max="13138" width="14.85546875" style="60" customWidth="1"/>
    <col min="13139" max="13139" width="22.140625" style="60" customWidth="1"/>
    <col min="13140" max="13140" width="11.28515625" style="60" bestFit="1" customWidth="1"/>
    <col min="13141" max="13142" width="11.28515625" style="60" customWidth="1"/>
    <col min="13143" max="13143" width="11.28515625" style="60" bestFit="1" customWidth="1"/>
    <col min="13144" max="13146" width="10.28515625" style="60" bestFit="1" customWidth="1"/>
    <col min="13147" max="13147" width="9.28515625" style="60" bestFit="1" customWidth="1"/>
    <col min="13148" max="13390" width="9.140625" style="60"/>
    <col min="13391" max="13391" width="6.28515625" style="60" customWidth="1"/>
    <col min="13392" max="13392" width="5.42578125" style="60" customWidth="1"/>
    <col min="13393" max="13393" width="32" style="60" bestFit="1" customWidth="1"/>
    <col min="13394" max="13394" width="14.85546875" style="60" customWidth="1"/>
    <col min="13395" max="13395" width="22.140625" style="60" customWidth="1"/>
    <col min="13396" max="13396" width="11.28515625" style="60" bestFit="1" customWidth="1"/>
    <col min="13397" max="13398" width="11.28515625" style="60" customWidth="1"/>
    <col min="13399" max="13399" width="11.28515625" style="60" bestFit="1" customWidth="1"/>
    <col min="13400" max="13402" width="10.28515625" style="60" bestFit="1" customWidth="1"/>
    <col min="13403" max="13403" width="9.28515625" style="60" bestFit="1" customWidth="1"/>
    <col min="13404" max="13646" width="9.140625" style="60"/>
    <col min="13647" max="13647" width="6.28515625" style="60" customWidth="1"/>
    <col min="13648" max="13648" width="5.42578125" style="60" customWidth="1"/>
    <col min="13649" max="13649" width="32" style="60" bestFit="1" customWidth="1"/>
    <col min="13650" max="13650" width="14.85546875" style="60" customWidth="1"/>
    <col min="13651" max="13651" width="22.140625" style="60" customWidth="1"/>
    <col min="13652" max="13652" width="11.28515625" style="60" bestFit="1" customWidth="1"/>
    <col min="13653" max="13654" width="11.28515625" style="60" customWidth="1"/>
    <col min="13655" max="13655" width="11.28515625" style="60" bestFit="1" customWidth="1"/>
    <col min="13656" max="13658" width="10.28515625" style="60" bestFit="1" customWidth="1"/>
    <col min="13659" max="13659" width="9.28515625" style="60" bestFit="1" customWidth="1"/>
    <col min="13660" max="13902" width="9.140625" style="60"/>
    <col min="13903" max="13903" width="6.28515625" style="60" customWidth="1"/>
    <col min="13904" max="13904" width="5.42578125" style="60" customWidth="1"/>
    <col min="13905" max="13905" width="32" style="60" bestFit="1" customWidth="1"/>
    <col min="13906" max="13906" width="14.85546875" style="60" customWidth="1"/>
    <col min="13907" max="13907" width="22.140625" style="60" customWidth="1"/>
    <col min="13908" max="13908" width="11.28515625" style="60" bestFit="1" customWidth="1"/>
    <col min="13909" max="13910" width="11.28515625" style="60" customWidth="1"/>
    <col min="13911" max="13911" width="11.28515625" style="60" bestFit="1" customWidth="1"/>
    <col min="13912" max="13914" width="10.28515625" style="60" bestFit="1" customWidth="1"/>
    <col min="13915" max="13915" width="9.28515625" style="60" bestFit="1" customWidth="1"/>
    <col min="13916" max="14158" width="9.140625" style="60"/>
    <col min="14159" max="14159" width="6.28515625" style="60" customWidth="1"/>
    <col min="14160" max="14160" width="5.42578125" style="60" customWidth="1"/>
    <col min="14161" max="14161" width="32" style="60" bestFit="1" customWidth="1"/>
    <col min="14162" max="14162" width="14.85546875" style="60" customWidth="1"/>
    <col min="14163" max="14163" width="22.140625" style="60" customWidth="1"/>
    <col min="14164" max="14164" width="11.28515625" style="60" bestFit="1" customWidth="1"/>
    <col min="14165" max="14166" width="11.28515625" style="60" customWidth="1"/>
    <col min="14167" max="14167" width="11.28515625" style="60" bestFit="1" customWidth="1"/>
    <col min="14168" max="14170" width="10.28515625" style="60" bestFit="1" customWidth="1"/>
    <col min="14171" max="14171" width="9.28515625" style="60" bestFit="1" customWidth="1"/>
    <col min="14172" max="14414" width="9.140625" style="60"/>
    <col min="14415" max="14415" width="6.28515625" style="60" customWidth="1"/>
    <col min="14416" max="14416" width="5.42578125" style="60" customWidth="1"/>
    <col min="14417" max="14417" width="32" style="60" bestFit="1" customWidth="1"/>
    <col min="14418" max="14418" width="14.85546875" style="60" customWidth="1"/>
    <col min="14419" max="14419" width="22.140625" style="60" customWidth="1"/>
    <col min="14420" max="14420" width="11.28515625" style="60" bestFit="1" customWidth="1"/>
    <col min="14421" max="14422" width="11.28515625" style="60" customWidth="1"/>
    <col min="14423" max="14423" width="11.28515625" style="60" bestFit="1" customWidth="1"/>
    <col min="14424" max="14426" width="10.28515625" style="60" bestFit="1" customWidth="1"/>
    <col min="14427" max="14427" width="9.28515625" style="60" bestFit="1" customWidth="1"/>
    <col min="14428" max="14670" width="9.140625" style="60"/>
    <col min="14671" max="14671" width="6.28515625" style="60" customWidth="1"/>
    <col min="14672" max="14672" width="5.42578125" style="60" customWidth="1"/>
    <col min="14673" max="14673" width="32" style="60" bestFit="1" customWidth="1"/>
    <col min="14674" max="14674" width="14.85546875" style="60" customWidth="1"/>
    <col min="14675" max="14675" width="22.140625" style="60" customWidth="1"/>
    <col min="14676" max="14676" width="11.28515625" style="60" bestFit="1" customWidth="1"/>
    <col min="14677" max="14678" width="11.28515625" style="60" customWidth="1"/>
    <col min="14679" max="14679" width="11.28515625" style="60" bestFit="1" customWidth="1"/>
    <col min="14680" max="14682" width="10.28515625" style="60" bestFit="1" customWidth="1"/>
    <col min="14683" max="14683" width="9.28515625" style="60" bestFit="1" customWidth="1"/>
    <col min="14684" max="14926" width="9.140625" style="60"/>
    <col min="14927" max="14927" width="6.28515625" style="60" customWidth="1"/>
    <col min="14928" max="14928" width="5.42578125" style="60" customWidth="1"/>
    <col min="14929" max="14929" width="32" style="60" bestFit="1" customWidth="1"/>
    <col min="14930" max="14930" width="14.85546875" style="60" customWidth="1"/>
    <col min="14931" max="14931" width="22.140625" style="60" customWidth="1"/>
    <col min="14932" max="14932" width="11.28515625" style="60" bestFit="1" customWidth="1"/>
    <col min="14933" max="14934" width="11.28515625" style="60" customWidth="1"/>
    <col min="14935" max="14935" width="11.28515625" style="60" bestFit="1" customWidth="1"/>
    <col min="14936" max="14938" width="10.28515625" style="60" bestFit="1" customWidth="1"/>
    <col min="14939" max="14939" width="9.28515625" style="60" bestFit="1" customWidth="1"/>
    <col min="14940" max="15182" width="9.140625" style="60"/>
    <col min="15183" max="15183" width="6.28515625" style="60" customWidth="1"/>
    <col min="15184" max="15184" width="5.42578125" style="60" customWidth="1"/>
    <col min="15185" max="15185" width="32" style="60" bestFit="1" customWidth="1"/>
    <col min="15186" max="15186" width="14.85546875" style="60" customWidth="1"/>
    <col min="15187" max="15187" width="22.140625" style="60" customWidth="1"/>
    <col min="15188" max="15188" width="11.28515625" style="60" bestFit="1" customWidth="1"/>
    <col min="15189" max="15190" width="11.28515625" style="60" customWidth="1"/>
    <col min="15191" max="15191" width="11.28515625" style="60" bestFit="1" customWidth="1"/>
    <col min="15192" max="15194" width="10.28515625" style="60" bestFit="1" customWidth="1"/>
    <col min="15195" max="15195" width="9.28515625" style="60" bestFit="1" customWidth="1"/>
    <col min="15196" max="15438" width="9.140625" style="60"/>
    <col min="15439" max="15439" width="6.28515625" style="60" customWidth="1"/>
    <col min="15440" max="15440" width="5.42578125" style="60" customWidth="1"/>
    <col min="15441" max="15441" width="32" style="60" bestFit="1" customWidth="1"/>
    <col min="15442" max="15442" width="14.85546875" style="60" customWidth="1"/>
    <col min="15443" max="15443" width="22.140625" style="60" customWidth="1"/>
    <col min="15444" max="15444" width="11.28515625" style="60" bestFit="1" customWidth="1"/>
    <col min="15445" max="15446" width="11.28515625" style="60" customWidth="1"/>
    <col min="15447" max="15447" width="11.28515625" style="60" bestFit="1" customWidth="1"/>
    <col min="15448" max="15450" width="10.28515625" style="60" bestFit="1" customWidth="1"/>
    <col min="15451" max="15451" width="9.28515625" style="60" bestFit="1" customWidth="1"/>
    <col min="15452" max="15694" width="9.140625" style="60"/>
    <col min="15695" max="15695" width="6.28515625" style="60" customWidth="1"/>
    <col min="15696" max="15696" width="5.42578125" style="60" customWidth="1"/>
    <col min="15697" max="15697" width="32" style="60" bestFit="1" customWidth="1"/>
    <col min="15698" max="15698" width="14.85546875" style="60" customWidth="1"/>
    <col min="15699" max="15699" width="22.140625" style="60" customWidth="1"/>
    <col min="15700" max="15700" width="11.28515625" style="60" bestFit="1" customWidth="1"/>
    <col min="15701" max="15702" width="11.28515625" style="60" customWidth="1"/>
    <col min="15703" max="15703" width="11.28515625" style="60" bestFit="1" customWidth="1"/>
    <col min="15704" max="15706" width="10.28515625" style="60" bestFit="1" customWidth="1"/>
    <col min="15707" max="15707" width="9.28515625" style="60" bestFit="1" customWidth="1"/>
    <col min="15708" max="16384" width="9.140625" style="60"/>
  </cols>
  <sheetData>
    <row r="1" spans="1:15">
      <c r="M1" s="78"/>
    </row>
    <row r="2" spans="1:15" ht="21">
      <c r="A2" s="180" t="s">
        <v>323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</row>
    <row r="3" spans="1:15">
      <c r="M3" s="78" t="s">
        <v>149</v>
      </c>
    </row>
    <row r="4" spans="1:15" ht="44.25" customHeight="1">
      <c r="A4" s="181" t="s">
        <v>151</v>
      </c>
      <c r="B4" s="182" t="s">
        <v>281</v>
      </c>
      <c r="C4" s="181" t="s">
        <v>282</v>
      </c>
      <c r="D4" s="181" t="s">
        <v>283</v>
      </c>
      <c r="E4" s="181" t="s">
        <v>284</v>
      </c>
      <c r="F4" s="178" t="s">
        <v>364</v>
      </c>
      <c r="G4" s="178" t="s">
        <v>365</v>
      </c>
      <c r="H4" s="178" t="s">
        <v>366</v>
      </c>
      <c r="I4" s="178">
        <v>2027</v>
      </c>
      <c r="J4" s="178">
        <v>2028</v>
      </c>
      <c r="K4" s="178">
        <v>2029</v>
      </c>
      <c r="L4" s="178">
        <v>2030</v>
      </c>
      <c r="M4" s="178">
        <v>2031</v>
      </c>
    </row>
    <row r="5" spans="1:15" ht="90" customHeight="1">
      <c r="A5" s="181"/>
      <c r="B5" s="182"/>
      <c r="C5" s="181"/>
      <c r="D5" s="181"/>
      <c r="E5" s="181"/>
      <c r="F5" s="179"/>
      <c r="G5" s="179"/>
      <c r="H5" s="179"/>
      <c r="I5" s="179"/>
      <c r="J5" s="179"/>
      <c r="K5" s="179"/>
      <c r="L5" s="179"/>
      <c r="M5" s="179"/>
    </row>
    <row r="6" spans="1:15" ht="60">
      <c r="A6" s="89">
        <v>1</v>
      </c>
      <c r="B6" s="89">
        <v>51</v>
      </c>
      <c r="C6" s="90" t="s">
        <v>285</v>
      </c>
      <c r="D6" s="88" t="s">
        <v>51</v>
      </c>
      <c r="E6" s="94">
        <v>1231</v>
      </c>
      <c r="F6" s="94">
        <v>1021</v>
      </c>
      <c r="G6" s="94"/>
      <c r="H6" s="94">
        <f>F6+G6</f>
        <v>1021</v>
      </c>
      <c r="I6" s="94"/>
      <c r="J6" s="94"/>
      <c r="K6" s="94"/>
      <c r="L6" s="94"/>
      <c r="M6" s="94"/>
      <c r="N6" s="72"/>
      <c r="O6" s="72"/>
    </row>
    <row r="7" spans="1:15" ht="30">
      <c r="A7" s="89">
        <v>2</v>
      </c>
      <c r="B7" s="89">
        <v>51</v>
      </c>
      <c r="C7" s="90" t="s">
        <v>286</v>
      </c>
      <c r="D7" s="88" t="s">
        <v>287</v>
      </c>
      <c r="E7" s="94">
        <v>25061</v>
      </c>
      <c r="F7" s="94">
        <v>22394</v>
      </c>
      <c r="G7" s="94"/>
      <c r="H7" s="94">
        <f t="shared" ref="H7:H71" si="0">F7+G7</f>
        <v>22394</v>
      </c>
      <c r="I7" s="94"/>
      <c r="J7" s="94"/>
      <c r="K7" s="94"/>
      <c r="L7" s="94"/>
      <c r="M7" s="94"/>
      <c r="N7" s="72"/>
      <c r="O7" s="72"/>
    </row>
    <row r="8" spans="1:15" ht="45">
      <c r="A8" s="89">
        <v>3</v>
      </c>
      <c r="B8" s="89">
        <v>51</v>
      </c>
      <c r="C8" s="90" t="s">
        <v>288</v>
      </c>
      <c r="D8" s="88" t="s">
        <v>287</v>
      </c>
      <c r="E8" s="94">
        <v>4998</v>
      </c>
      <c r="F8" s="94">
        <v>3982</v>
      </c>
      <c r="G8" s="94"/>
      <c r="H8" s="94">
        <f t="shared" si="0"/>
        <v>3982</v>
      </c>
      <c r="I8" s="94"/>
      <c r="J8" s="94"/>
      <c r="K8" s="94"/>
      <c r="L8" s="94"/>
      <c r="M8" s="94"/>
      <c r="N8" s="72"/>
      <c r="O8" s="72"/>
    </row>
    <row r="9" spans="1:15" ht="30">
      <c r="A9" s="89">
        <v>4</v>
      </c>
      <c r="B9" s="89">
        <v>51</v>
      </c>
      <c r="C9" s="90" t="s">
        <v>289</v>
      </c>
      <c r="D9" s="88" t="s">
        <v>287</v>
      </c>
      <c r="E9" s="95">
        <v>11500</v>
      </c>
      <c r="F9" s="94">
        <v>1500</v>
      </c>
      <c r="G9" s="94"/>
      <c r="H9" s="94">
        <f t="shared" si="0"/>
        <v>1500</v>
      </c>
      <c r="I9" s="94">
        <v>5000</v>
      </c>
      <c r="J9" s="94">
        <v>5000</v>
      </c>
      <c r="K9" s="94"/>
      <c r="L9" s="94"/>
      <c r="M9" s="94"/>
      <c r="N9" s="72"/>
      <c r="O9" s="72"/>
    </row>
    <row r="10" spans="1:15" s="100" customFormat="1" ht="45">
      <c r="A10" s="89">
        <v>5</v>
      </c>
      <c r="B10" s="96">
        <v>51</v>
      </c>
      <c r="C10" s="97" t="s">
        <v>290</v>
      </c>
      <c r="D10" s="98" t="s">
        <v>287</v>
      </c>
      <c r="E10" s="99">
        <v>1500</v>
      </c>
      <c r="F10" s="99">
        <v>500</v>
      </c>
      <c r="G10" s="99"/>
      <c r="H10" s="94">
        <f t="shared" si="0"/>
        <v>500</v>
      </c>
      <c r="I10" s="99">
        <v>500</v>
      </c>
      <c r="J10" s="99">
        <v>500</v>
      </c>
      <c r="K10" s="99"/>
      <c r="L10" s="99"/>
      <c r="M10" s="99"/>
      <c r="N10" s="72"/>
    </row>
    <row r="11" spans="1:15" s="100" customFormat="1" ht="30">
      <c r="A11" s="89">
        <v>6</v>
      </c>
      <c r="B11" s="96">
        <v>51</v>
      </c>
      <c r="C11" s="97" t="s">
        <v>291</v>
      </c>
      <c r="D11" s="98" t="s">
        <v>287</v>
      </c>
      <c r="E11" s="99">
        <v>4100</v>
      </c>
      <c r="F11" s="99">
        <v>100</v>
      </c>
      <c r="G11" s="99"/>
      <c r="H11" s="94">
        <f t="shared" si="0"/>
        <v>100</v>
      </c>
      <c r="I11" s="99">
        <v>1000</v>
      </c>
      <c r="J11" s="99">
        <v>3000</v>
      </c>
      <c r="K11" s="99"/>
      <c r="L11" s="99"/>
      <c r="M11" s="99"/>
      <c r="N11" s="72"/>
    </row>
    <row r="12" spans="1:15" s="100" customFormat="1" ht="45">
      <c r="A12" s="89">
        <v>7</v>
      </c>
      <c r="B12" s="96">
        <v>51</v>
      </c>
      <c r="C12" s="97" t="s">
        <v>356</v>
      </c>
      <c r="D12" s="98" t="s">
        <v>287</v>
      </c>
      <c r="E12" s="99">
        <v>358</v>
      </c>
      <c r="F12" s="99">
        <v>158</v>
      </c>
      <c r="G12" s="99"/>
      <c r="H12" s="94">
        <f t="shared" si="0"/>
        <v>158</v>
      </c>
      <c r="I12" s="99">
        <v>200</v>
      </c>
      <c r="J12" s="99"/>
      <c r="K12" s="99"/>
      <c r="L12" s="99"/>
      <c r="M12" s="99"/>
      <c r="N12" s="72"/>
    </row>
    <row r="13" spans="1:15" s="100" customFormat="1" ht="45">
      <c r="A13" s="89">
        <v>8</v>
      </c>
      <c r="B13" s="96">
        <v>51</v>
      </c>
      <c r="C13" s="97" t="s">
        <v>355</v>
      </c>
      <c r="D13" s="98" t="s">
        <v>287</v>
      </c>
      <c r="E13" s="99">
        <v>600</v>
      </c>
      <c r="F13" s="99">
        <v>300</v>
      </c>
      <c r="G13" s="99"/>
      <c r="H13" s="94">
        <f t="shared" si="0"/>
        <v>300</v>
      </c>
      <c r="I13" s="99">
        <v>300</v>
      </c>
      <c r="J13" s="99"/>
      <c r="K13" s="99"/>
      <c r="L13" s="99"/>
      <c r="M13" s="99"/>
      <c r="N13" s="72"/>
    </row>
    <row r="14" spans="1:15" s="100" customFormat="1" ht="30">
      <c r="A14" s="89">
        <v>9</v>
      </c>
      <c r="B14" s="96">
        <v>51</v>
      </c>
      <c r="C14" s="97" t="s">
        <v>351</v>
      </c>
      <c r="D14" s="98" t="s">
        <v>287</v>
      </c>
      <c r="E14" s="99">
        <v>350</v>
      </c>
      <c r="F14" s="99">
        <v>50</v>
      </c>
      <c r="G14" s="99"/>
      <c r="H14" s="94">
        <f t="shared" si="0"/>
        <v>50</v>
      </c>
      <c r="I14" s="99">
        <v>300</v>
      </c>
      <c r="J14" s="99"/>
      <c r="K14" s="99"/>
      <c r="L14" s="99"/>
      <c r="M14" s="99"/>
      <c r="N14" s="72"/>
    </row>
    <row r="15" spans="1:15" s="100" customFormat="1" ht="45">
      <c r="A15" s="89">
        <v>10</v>
      </c>
      <c r="B15" s="96">
        <v>51</v>
      </c>
      <c r="C15" s="97" t="s">
        <v>353</v>
      </c>
      <c r="D15" s="98" t="s">
        <v>287</v>
      </c>
      <c r="E15" s="99">
        <v>490</v>
      </c>
      <c r="F15" s="99">
        <v>10</v>
      </c>
      <c r="G15" s="99"/>
      <c r="H15" s="94">
        <f t="shared" si="0"/>
        <v>10</v>
      </c>
      <c r="I15" s="99">
        <v>480</v>
      </c>
      <c r="J15" s="99"/>
      <c r="K15" s="99"/>
      <c r="L15" s="99"/>
      <c r="M15" s="99"/>
      <c r="N15" s="72"/>
    </row>
    <row r="16" spans="1:15" s="100" customFormat="1" ht="45">
      <c r="A16" s="89">
        <v>11</v>
      </c>
      <c r="B16" s="96">
        <v>51</v>
      </c>
      <c r="C16" s="97" t="s">
        <v>354</v>
      </c>
      <c r="D16" s="98" t="s">
        <v>287</v>
      </c>
      <c r="E16" s="99">
        <v>15</v>
      </c>
      <c r="F16" s="99">
        <v>5</v>
      </c>
      <c r="G16" s="99"/>
      <c r="H16" s="94">
        <f t="shared" si="0"/>
        <v>5</v>
      </c>
      <c r="I16" s="99">
        <v>5</v>
      </c>
      <c r="J16" s="99">
        <v>5</v>
      </c>
      <c r="K16" s="99"/>
      <c r="L16" s="99"/>
      <c r="M16" s="99"/>
      <c r="N16" s="72"/>
    </row>
    <row r="17" spans="1:15" s="100" customFormat="1" ht="30">
      <c r="A17" s="108">
        <v>12</v>
      </c>
      <c r="B17" s="96">
        <v>51</v>
      </c>
      <c r="C17" s="97" t="s">
        <v>367</v>
      </c>
      <c r="D17" s="98" t="s">
        <v>287</v>
      </c>
      <c r="E17" s="99">
        <f>H17+I17</f>
        <v>950</v>
      </c>
      <c r="F17" s="99"/>
      <c r="G17" s="99">
        <v>150</v>
      </c>
      <c r="H17" s="94">
        <f t="shared" si="0"/>
        <v>150</v>
      </c>
      <c r="I17" s="99">
        <v>800</v>
      </c>
      <c r="J17" s="99"/>
      <c r="K17" s="99"/>
      <c r="L17" s="99"/>
      <c r="M17" s="99"/>
      <c r="N17" s="72"/>
    </row>
    <row r="18" spans="1:15" s="100" customFormat="1" ht="45">
      <c r="A18" s="108">
        <v>13</v>
      </c>
      <c r="B18" s="96">
        <v>60</v>
      </c>
      <c r="C18" s="97" t="s">
        <v>357</v>
      </c>
      <c r="D18" s="98" t="s">
        <v>287</v>
      </c>
      <c r="E18" s="99">
        <v>1490</v>
      </c>
      <c r="F18" s="99">
        <v>790</v>
      </c>
      <c r="G18" s="99"/>
      <c r="H18" s="94">
        <f t="shared" si="0"/>
        <v>790</v>
      </c>
      <c r="I18" s="99">
        <v>700</v>
      </c>
      <c r="J18" s="99"/>
      <c r="K18" s="99"/>
      <c r="L18" s="99"/>
      <c r="M18" s="99"/>
      <c r="N18" s="72"/>
    </row>
    <row r="19" spans="1:15" ht="30">
      <c r="A19" s="108">
        <v>14</v>
      </c>
      <c r="B19" s="89">
        <v>65</v>
      </c>
      <c r="C19" s="90" t="s">
        <v>292</v>
      </c>
      <c r="D19" s="88" t="s">
        <v>287</v>
      </c>
      <c r="E19" s="94">
        <f>5042+2179</f>
        <v>7221</v>
      </c>
      <c r="F19" s="94">
        <v>4264</v>
      </c>
      <c r="G19" s="94"/>
      <c r="H19" s="94">
        <f t="shared" si="0"/>
        <v>4264</v>
      </c>
      <c r="I19" s="94"/>
      <c r="J19" s="94"/>
      <c r="K19" s="94"/>
      <c r="L19" s="94"/>
      <c r="M19" s="94"/>
      <c r="N19" s="72"/>
      <c r="O19" s="72"/>
    </row>
    <row r="20" spans="1:15" ht="60" customHeight="1">
      <c r="A20" s="108">
        <v>15</v>
      </c>
      <c r="B20" s="89">
        <v>65</v>
      </c>
      <c r="C20" s="90" t="s">
        <v>293</v>
      </c>
      <c r="D20" s="88" t="s">
        <v>287</v>
      </c>
      <c r="E20" s="94">
        <v>2252</v>
      </c>
      <c r="F20" s="94">
        <v>2</v>
      </c>
      <c r="G20" s="94"/>
      <c r="H20" s="94">
        <f t="shared" si="0"/>
        <v>2</v>
      </c>
      <c r="I20" s="94"/>
      <c r="J20" s="94"/>
      <c r="K20" s="94"/>
      <c r="L20" s="94"/>
      <c r="M20" s="94"/>
      <c r="N20" s="72"/>
      <c r="O20" s="72"/>
    </row>
    <row r="21" spans="1:15" ht="45">
      <c r="A21" s="108">
        <v>16</v>
      </c>
      <c r="B21" s="92">
        <v>65</v>
      </c>
      <c r="C21" s="93" t="s">
        <v>294</v>
      </c>
      <c r="D21" s="91" t="s">
        <v>107</v>
      </c>
      <c r="E21" s="94">
        <v>13864</v>
      </c>
      <c r="F21" s="94">
        <v>13770</v>
      </c>
      <c r="G21" s="94"/>
      <c r="H21" s="94">
        <f t="shared" si="0"/>
        <v>13770</v>
      </c>
      <c r="I21" s="94"/>
      <c r="J21" s="94"/>
      <c r="K21" s="94"/>
      <c r="L21" s="94"/>
      <c r="M21" s="94"/>
      <c r="N21" s="72"/>
      <c r="O21" s="72"/>
    </row>
    <row r="22" spans="1:15" ht="30">
      <c r="A22" s="108">
        <v>17</v>
      </c>
      <c r="B22" s="89">
        <v>66</v>
      </c>
      <c r="C22" s="90" t="s">
        <v>295</v>
      </c>
      <c r="D22" s="88" t="s">
        <v>26</v>
      </c>
      <c r="E22" s="94">
        <v>19643</v>
      </c>
      <c r="F22" s="94">
        <v>7056</v>
      </c>
      <c r="G22" s="94">
        <v>-226</v>
      </c>
      <c r="H22" s="94">
        <f t="shared" si="0"/>
        <v>6830</v>
      </c>
      <c r="I22" s="94"/>
      <c r="J22" s="94"/>
      <c r="K22" s="94"/>
      <c r="L22" s="94"/>
      <c r="M22" s="94"/>
      <c r="N22" s="72"/>
      <c r="O22" s="72"/>
    </row>
    <row r="23" spans="1:15" ht="60" customHeight="1">
      <c r="A23" s="108">
        <v>18</v>
      </c>
      <c r="B23" s="89">
        <v>66</v>
      </c>
      <c r="C23" s="90" t="s">
        <v>296</v>
      </c>
      <c r="D23" s="88" t="s">
        <v>27</v>
      </c>
      <c r="E23" s="94">
        <v>15193</v>
      </c>
      <c r="F23" s="94">
        <v>1910</v>
      </c>
      <c r="G23" s="94"/>
      <c r="H23" s="94">
        <f t="shared" si="0"/>
        <v>1910</v>
      </c>
      <c r="I23" s="94"/>
      <c r="J23" s="94"/>
      <c r="K23" s="94"/>
      <c r="L23" s="94"/>
      <c r="M23" s="94"/>
      <c r="N23" s="72"/>
      <c r="O23" s="72"/>
    </row>
    <row r="24" spans="1:15" ht="30">
      <c r="A24" s="108">
        <v>19</v>
      </c>
      <c r="B24" s="89">
        <v>66</v>
      </c>
      <c r="C24" s="90" t="s">
        <v>297</v>
      </c>
      <c r="D24" s="88" t="s">
        <v>26</v>
      </c>
      <c r="E24" s="94">
        <v>36669</v>
      </c>
      <c r="F24" s="94">
        <v>20091</v>
      </c>
      <c r="G24" s="94"/>
      <c r="H24" s="94">
        <f t="shared" si="0"/>
        <v>20091</v>
      </c>
      <c r="I24" s="94"/>
      <c r="J24" s="94"/>
      <c r="K24" s="94"/>
      <c r="L24" s="94"/>
      <c r="M24" s="94"/>
      <c r="N24" s="72"/>
      <c r="O24" s="72"/>
    </row>
    <row r="25" spans="1:15" ht="30">
      <c r="A25" s="108">
        <v>20</v>
      </c>
      <c r="B25" s="89">
        <v>66</v>
      </c>
      <c r="C25" s="90" t="s">
        <v>298</v>
      </c>
      <c r="D25" s="88" t="s">
        <v>26</v>
      </c>
      <c r="E25" s="94">
        <v>368</v>
      </c>
      <c r="F25" s="94">
        <v>197</v>
      </c>
      <c r="G25" s="94"/>
      <c r="H25" s="94">
        <f t="shared" si="0"/>
        <v>197</v>
      </c>
      <c r="I25" s="94"/>
      <c r="J25" s="94"/>
      <c r="K25" s="94"/>
      <c r="L25" s="94"/>
      <c r="M25" s="94"/>
      <c r="N25" s="72"/>
      <c r="O25" s="72"/>
    </row>
    <row r="26" spans="1:15" ht="30">
      <c r="A26" s="108">
        <v>21</v>
      </c>
      <c r="B26" s="89">
        <v>66</v>
      </c>
      <c r="C26" s="90" t="s">
        <v>299</v>
      </c>
      <c r="D26" s="88" t="s">
        <v>26</v>
      </c>
      <c r="E26" s="94">
        <v>10839</v>
      </c>
      <c r="F26" s="94">
        <v>7557</v>
      </c>
      <c r="G26" s="94"/>
      <c r="H26" s="94">
        <f t="shared" si="0"/>
        <v>7557</v>
      </c>
      <c r="I26" s="94"/>
      <c r="J26" s="94"/>
      <c r="K26" s="94"/>
      <c r="L26" s="94"/>
      <c r="M26" s="94"/>
      <c r="N26" s="72"/>
      <c r="O26" s="72"/>
    </row>
    <row r="27" spans="1:15" ht="45">
      <c r="A27" s="108">
        <v>22</v>
      </c>
      <c r="B27" s="89">
        <v>66</v>
      </c>
      <c r="C27" s="90" t="s">
        <v>300</v>
      </c>
      <c r="D27" s="88" t="s">
        <v>26</v>
      </c>
      <c r="E27" s="94">
        <v>29297</v>
      </c>
      <c r="F27" s="94">
        <v>28634</v>
      </c>
      <c r="G27" s="94"/>
      <c r="H27" s="94">
        <f t="shared" si="0"/>
        <v>28634</v>
      </c>
      <c r="I27" s="94">
        <v>338</v>
      </c>
      <c r="J27" s="94"/>
      <c r="K27" s="94"/>
      <c r="L27" s="94"/>
      <c r="M27" s="94"/>
      <c r="N27" s="72"/>
      <c r="O27" s="72"/>
    </row>
    <row r="28" spans="1:15" ht="45">
      <c r="A28" s="108">
        <v>23</v>
      </c>
      <c r="B28" s="89">
        <v>66</v>
      </c>
      <c r="C28" s="90" t="s">
        <v>301</v>
      </c>
      <c r="D28" s="88" t="s">
        <v>26</v>
      </c>
      <c r="E28" s="94">
        <v>5903</v>
      </c>
      <c r="F28" s="94">
        <v>5903</v>
      </c>
      <c r="G28" s="94"/>
      <c r="H28" s="94">
        <f t="shared" si="0"/>
        <v>5903</v>
      </c>
      <c r="I28" s="94"/>
      <c r="J28" s="94"/>
      <c r="K28" s="94"/>
      <c r="L28" s="94"/>
      <c r="M28" s="94"/>
      <c r="N28" s="72"/>
    </row>
    <row r="29" spans="1:15" ht="57.75" customHeight="1">
      <c r="A29" s="108">
        <v>24</v>
      </c>
      <c r="B29" s="89">
        <v>66</v>
      </c>
      <c r="C29" s="90" t="s">
        <v>345</v>
      </c>
      <c r="D29" s="88" t="s">
        <v>27</v>
      </c>
      <c r="E29" s="94">
        <v>16016</v>
      </c>
      <c r="F29" s="94">
        <v>743</v>
      </c>
      <c r="G29" s="94"/>
      <c r="H29" s="94">
        <f t="shared" si="0"/>
        <v>743</v>
      </c>
      <c r="I29" s="94">
        <v>3165</v>
      </c>
      <c r="J29" s="94">
        <v>5719</v>
      </c>
      <c r="K29" s="94">
        <v>6121</v>
      </c>
      <c r="L29" s="94"/>
      <c r="M29" s="94"/>
      <c r="N29" s="72"/>
    </row>
    <row r="30" spans="1:15" ht="30">
      <c r="A30" s="108">
        <v>25</v>
      </c>
      <c r="B30" s="89">
        <v>66</v>
      </c>
      <c r="C30" s="90" t="s">
        <v>358</v>
      </c>
      <c r="D30" s="88" t="s">
        <v>26</v>
      </c>
      <c r="E30" s="94">
        <v>1050</v>
      </c>
      <c r="F30" s="94">
        <v>150</v>
      </c>
      <c r="G30" s="94"/>
      <c r="H30" s="94">
        <f t="shared" si="0"/>
        <v>150</v>
      </c>
      <c r="I30" s="94">
        <f>E30-F30</f>
        <v>900</v>
      </c>
      <c r="J30" s="94"/>
      <c r="K30" s="94"/>
      <c r="L30" s="94"/>
      <c r="M30" s="94"/>
      <c r="N30" s="72"/>
    </row>
    <row r="31" spans="1:15">
      <c r="A31" s="108">
        <v>26</v>
      </c>
      <c r="B31" s="89">
        <v>66</v>
      </c>
      <c r="C31" s="90" t="s">
        <v>359</v>
      </c>
      <c r="D31" s="88" t="s">
        <v>26</v>
      </c>
      <c r="E31" s="94">
        <v>1050</v>
      </c>
      <c r="F31" s="94">
        <v>150</v>
      </c>
      <c r="G31" s="94"/>
      <c r="H31" s="94">
        <f t="shared" si="0"/>
        <v>150</v>
      </c>
      <c r="I31" s="94">
        <f t="shared" ref="I31:I35" si="1">E31-F31</f>
        <v>900</v>
      </c>
      <c r="J31" s="94"/>
      <c r="K31" s="94"/>
      <c r="L31" s="94"/>
      <c r="M31" s="94"/>
      <c r="N31" s="72"/>
    </row>
    <row r="32" spans="1:15" ht="30">
      <c r="A32" s="108">
        <v>27</v>
      </c>
      <c r="B32" s="89">
        <v>66</v>
      </c>
      <c r="C32" s="90" t="s">
        <v>360</v>
      </c>
      <c r="D32" s="88" t="s">
        <v>26</v>
      </c>
      <c r="E32" s="94">
        <v>1050</v>
      </c>
      <c r="F32" s="94">
        <v>250</v>
      </c>
      <c r="G32" s="94"/>
      <c r="H32" s="94">
        <f t="shared" si="0"/>
        <v>250</v>
      </c>
      <c r="I32" s="94">
        <f t="shared" si="1"/>
        <v>800</v>
      </c>
      <c r="J32" s="94"/>
      <c r="K32" s="94"/>
      <c r="L32" s="94"/>
      <c r="M32" s="94"/>
      <c r="N32" s="72"/>
    </row>
    <row r="33" spans="1:15" ht="30">
      <c r="A33" s="108">
        <v>28</v>
      </c>
      <c r="B33" s="89">
        <v>66</v>
      </c>
      <c r="C33" s="90" t="s">
        <v>361</v>
      </c>
      <c r="D33" s="88" t="s">
        <v>26</v>
      </c>
      <c r="E33" s="94">
        <v>700</v>
      </c>
      <c r="F33" s="94">
        <v>100</v>
      </c>
      <c r="G33" s="94"/>
      <c r="H33" s="94">
        <f t="shared" si="0"/>
        <v>100</v>
      </c>
      <c r="I33" s="94">
        <f t="shared" si="1"/>
        <v>600</v>
      </c>
      <c r="J33" s="94"/>
      <c r="K33" s="94"/>
      <c r="L33" s="94"/>
      <c r="M33" s="94"/>
      <c r="N33" s="72"/>
    </row>
    <row r="34" spans="1:15" ht="30">
      <c r="A34" s="108">
        <v>29</v>
      </c>
      <c r="B34" s="89">
        <v>66</v>
      </c>
      <c r="C34" s="90" t="s">
        <v>362</v>
      </c>
      <c r="D34" s="88" t="s">
        <v>26</v>
      </c>
      <c r="E34" s="94">
        <v>1050</v>
      </c>
      <c r="F34" s="94">
        <v>150</v>
      </c>
      <c r="G34" s="94"/>
      <c r="H34" s="94">
        <f t="shared" si="0"/>
        <v>150</v>
      </c>
      <c r="I34" s="94">
        <f t="shared" si="1"/>
        <v>900</v>
      </c>
      <c r="J34" s="94"/>
      <c r="K34" s="94"/>
      <c r="L34" s="94"/>
      <c r="M34" s="94"/>
      <c r="N34" s="72"/>
    </row>
    <row r="35" spans="1:15">
      <c r="A35" s="108">
        <v>30</v>
      </c>
      <c r="B35" s="89">
        <v>66</v>
      </c>
      <c r="C35" s="90" t="s">
        <v>363</v>
      </c>
      <c r="D35" s="88" t="s">
        <v>26</v>
      </c>
      <c r="E35" s="94">
        <v>1050</v>
      </c>
      <c r="F35" s="94">
        <v>150</v>
      </c>
      <c r="G35" s="94"/>
      <c r="H35" s="94">
        <f t="shared" si="0"/>
        <v>150</v>
      </c>
      <c r="I35" s="94">
        <f t="shared" si="1"/>
        <v>900</v>
      </c>
      <c r="J35" s="94"/>
      <c r="K35" s="94"/>
      <c r="L35" s="94"/>
      <c r="M35" s="94"/>
      <c r="N35" s="72"/>
    </row>
    <row r="36" spans="1:15" ht="30">
      <c r="A36" s="108">
        <v>31</v>
      </c>
      <c r="B36" s="89">
        <v>67</v>
      </c>
      <c r="C36" s="90" t="s">
        <v>302</v>
      </c>
      <c r="D36" s="88" t="s">
        <v>287</v>
      </c>
      <c r="E36" s="94">
        <v>10809</v>
      </c>
      <c r="F36" s="94">
        <v>5</v>
      </c>
      <c r="G36" s="94"/>
      <c r="H36" s="94">
        <f t="shared" si="0"/>
        <v>5</v>
      </c>
      <c r="I36" s="94"/>
      <c r="J36" s="94"/>
      <c r="K36" s="94"/>
      <c r="L36" s="94"/>
      <c r="M36" s="94"/>
      <c r="N36" s="72"/>
      <c r="O36" s="72"/>
    </row>
    <row r="37" spans="1:15" ht="30">
      <c r="A37" s="108">
        <v>32</v>
      </c>
      <c r="B37" s="89">
        <v>67</v>
      </c>
      <c r="C37" s="90" t="s">
        <v>303</v>
      </c>
      <c r="D37" s="88" t="s">
        <v>287</v>
      </c>
      <c r="E37" s="94">
        <v>10006</v>
      </c>
      <c r="F37" s="94">
        <v>15</v>
      </c>
      <c r="G37" s="94"/>
      <c r="H37" s="94">
        <f t="shared" si="0"/>
        <v>15</v>
      </c>
      <c r="I37" s="94"/>
      <c r="J37" s="94"/>
      <c r="K37" s="94"/>
      <c r="L37" s="94"/>
      <c r="M37" s="94"/>
      <c r="N37" s="72"/>
      <c r="O37" s="72"/>
    </row>
    <row r="38" spans="1:15" ht="30">
      <c r="A38" s="108">
        <v>33</v>
      </c>
      <c r="B38" s="89">
        <v>67</v>
      </c>
      <c r="C38" s="90" t="s">
        <v>304</v>
      </c>
      <c r="D38" s="88" t="s">
        <v>287</v>
      </c>
      <c r="E38" s="94">
        <v>7543</v>
      </c>
      <c r="F38" s="94">
        <v>2387</v>
      </c>
      <c r="G38" s="94"/>
      <c r="H38" s="94">
        <f t="shared" si="0"/>
        <v>2387</v>
      </c>
      <c r="I38" s="94"/>
      <c r="J38" s="94"/>
      <c r="K38" s="94"/>
      <c r="L38" s="94">
        <v>1247</v>
      </c>
      <c r="M38" s="94"/>
      <c r="N38" s="72"/>
      <c r="O38" s="72"/>
    </row>
    <row r="39" spans="1:15" ht="30">
      <c r="A39" s="108">
        <v>34</v>
      </c>
      <c r="B39" s="89">
        <v>67</v>
      </c>
      <c r="C39" s="90" t="s">
        <v>305</v>
      </c>
      <c r="D39" s="88" t="s">
        <v>287</v>
      </c>
      <c r="E39" s="94">
        <v>18232</v>
      </c>
      <c r="F39" s="94">
        <v>14013</v>
      </c>
      <c r="G39" s="94"/>
      <c r="H39" s="94">
        <f t="shared" si="0"/>
        <v>14013</v>
      </c>
      <c r="I39" s="94"/>
      <c r="J39" s="94"/>
      <c r="K39" s="94"/>
      <c r="L39" s="94"/>
      <c r="M39" s="94"/>
      <c r="N39" s="72"/>
      <c r="O39" s="72"/>
    </row>
    <row r="40" spans="1:15" ht="75">
      <c r="A40" s="108">
        <v>35</v>
      </c>
      <c r="B40" s="89">
        <v>67</v>
      </c>
      <c r="C40" s="90" t="s">
        <v>306</v>
      </c>
      <c r="D40" s="88" t="s">
        <v>127</v>
      </c>
      <c r="E40" s="94">
        <v>295</v>
      </c>
      <c r="F40" s="94">
        <v>112</v>
      </c>
      <c r="G40" s="94"/>
      <c r="H40" s="94">
        <f t="shared" si="0"/>
        <v>112</v>
      </c>
      <c r="I40" s="94"/>
      <c r="J40" s="94"/>
      <c r="K40" s="94"/>
      <c r="L40" s="94"/>
      <c r="M40" s="94"/>
      <c r="N40" s="72"/>
      <c r="O40" s="72"/>
    </row>
    <row r="41" spans="1:15" ht="90">
      <c r="A41" s="108">
        <v>36</v>
      </c>
      <c r="B41" s="89">
        <v>68</v>
      </c>
      <c r="C41" s="90" t="s">
        <v>307</v>
      </c>
      <c r="D41" s="88" t="s">
        <v>308</v>
      </c>
      <c r="E41" s="94">
        <v>1510</v>
      </c>
      <c r="F41" s="94">
        <v>771</v>
      </c>
      <c r="G41" s="94"/>
      <c r="H41" s="94">
        <f t="shared" si="0"/>
        <v>771</v>
      </c>
      <c r="I41" s="94">
        <v>590</v>
      </c>
      <c r="J41" s="94">
        <v>110</v>
      </c>
      <c r="K41" s="94"/>
      <c r="L41" s="94"/>
      <c r="M41" s="94"/>
      <c r="N41" s="72"/>
      <c r="O41" s="72"/>
    </row>
    <row r="42" spans="1:15" ht="75">
      <c r="A42" s="108">
        <v>37</v>
      </c>
      <c r="B42" s="89">
        <v>70</v>
      </c>
      <c r="C42" s="90" t="s">
        <v>309</v>
      </c>
      <c r="D42" s="88" t="s">
        <v>49</v>
      </c>
      <c r="E42" s="94">
        <v>15</v>
      </c>
      <c r="F42" s="94">
        <v>15</v>
      </c>
      <c r="G42" s="94"/>
      <c r="H42" s="94">
        <f t="shared" si="0"/>
        <v>15</v>
      </c>
      <c r="I42" s="94"/>
      <c r="J42" s="94"/>
      <c r="K42" s="94"/>
      <c r="L42" s="94"/>
      <c r="M42" s="94"/>
      <c r="N42" s="72"/>
      <c r="O42" s="72"/>
    </row>
    <row r="43" spans="1:15" ht="75">
      <c r="A43" s="108">
        <v>38</v>
      </c>
      <c r="B43" s="89">
        <v>70</v>
      </c>
      <c r="C43" s="90" t="s">
        <v>343</v>
      </c>
      <c r="D43" s="88" t="s">
        <v>49</v>
      </c>
      <c r="E43" s="94">
        <v>250</v>
      </c>
      <c r="F43" s="94">
        <v>250</v>
      </c>
      <c r="G43" s="94"/>
      <c r="H43" s="94">
        <f t="shared" si="0"/>
        <v>250</v>
      </c>
      <c r="I43" s="94"/>
      <c r="J43" s="94"/>
      <c r="K43" s="94"/>
      <c r="L43" s="94"/>
      <c r="M43" s="94"/>
      <c r="N43" s="72"/>
      <c r="O43" s="72"/>
    </row>
    <row r="44" spans="1:15" ht="105">
      <c r="A44" s="108">
        <v>39</v>
      </c>
      <c r="B44" s="89">
        <v>70</v>
      </c>
      <c r="C44" s="90" t="s">
        <v>344</v>
      </c>
      <c r="D44" s="88" t="s">
        <v>49</v>
      </c>
      <c r="E44" s="94">
        <v>791</v>
      </c>
      <c r="F44" s="94">
        <v>791</v>
      </c>
      <c r="G44" s="94"/>
      <c r="H44" s="94">
        <f t="shared" si="0"/>
        <v>791</v>
      </c>
      <c r="I44" s="94"/>
      <c r="J44" s="94"/>
      <c r="K44" s="94"/>
      <c r="L44" s="94"/>
      <c r="M44" s="94"/>
      <c r="N44" s="72"/>
      <c r="O44" s="72"/>
    </row>
    <row r="45" spans="1:15" ht="75">
      <c r="A45" s="108">
        <v>40</v>
      </c>
      <c r="B45" s="89">
        <v>70</v>
      </c>
      <c r="C45" s="90" t="s">
        <v>310</v>
      </c>
      <c r="D45" s="88" t="s">
        <v>49</v>
      </c>
      <c r="E45" s="94">
        <v>166</v>
      </c>
      <c r="F45" s="94">
        <v>166</v>
      </c>
      <c r="G45" s="94"/>
      <c r="H45" s="94">
        <f t="shared" si="0"/>
        <v>166</v>
      </c>
      <c r="I45" s="94"/>
      <c r="J45" s="94"/>
      <c r="K45" s="94"/>
      <c r="L45" s="94"/>
      <c r="M45" s="94"/>
      <c r="N45" s="72"/>
      <c r="O45" s="72"/>
    </row>
    <row r="46" spans="1:15" ht="30">
      <c r="A46" s="108">
        <v>41</v>
      </c>
      <c r="B46" s="89">
        <v>84</v>
      </c>
      <c r="C46" s="90" t="s">
        <v>311</v>
      </c>
      <c r="D46" s="88" t="s">
        <v>312</v>
      </c>
      <c r="E46" s="94">
        <v>3408</v>
      </c>
      <c r="F46" s="94">
        <v>2000</v>
      </c>
      <c r="G46" s="94"/>
      <c r="H46" s="94">
        <f t="shared" si="0"/>
        <v>2000</v>
      </c>
      <c r="I46" s="94"/>
      <c r="J46" s="94"/>
      <c r="K46" s="94"/>
      <c r="L46" s="94"/>
      <c r="M46" s="94"/>
      <c r="N46" s="72"/>
      <c r="O46" s="72"/>
    </row>
    <row r="47" spans="1:15" ht="45">
      <c r="A47" s="108">
        <v>42</v>
      </c>
      <c r="B47" s="89">
        <v>84</v>
      </c>
      <c r="C47" s="90" t="s">
        <v>313</v>
      </c>
      <c r="D47" s="88" t="s">
        <v>287</v>
      </c>
      <c r="E47" s="94">
        <v>151745</v>
      </c>
      <c r="F47" s="94">
        <v>44</v>
      </c>
      <c r="G47" s="94"/>
      <c r="H47" s="94">
        <f t="shared" si="0"/>
        <v>44</v>
      </c>
      <c r="I47" s="94"/>
      <c r="J47" s="94"/>
      <c r="K47" s="94"/>
      <c r="L47" s="94"/>
      <c r="M47" s="94"/>
      <c r="N47" s="72"/>
      <c r="O47" s="72"/>
    </row>
    <row r="48" spans="1:15" ht="30">
      <c r="A48" s="108">
        <v>43</v>
      </c>
      <c r="B48" s="89">
        <v>84</v>
      </c>
      <c r="C48" s="90" t="s">
        <v>314</v>
      </c>
      <c r="D48" s="88" t="s">
        <v>287</v>
      </c>
      <c r="E48" s="94">
        <v>225143</v>
      </c>
      <c r="F48" s="94">
        <v>98863</v>
      </c>
      <c r="G48" s="94"/>
      <c r="H48" s="94">
        <f t="shared" si="0"/>
        <v>98863</v>
      </c>
      <c r="I48" s="94">
        <v>97640</v>
      </c>
      <c r="J48" s="94">
        <v>27795</v>
      </c>
      <c r="K48" s="94">
        <v>14</v>
      </c>
      <c r="L48" s="94">
        <v>14</v>
      </c>
      <c r="M48" s="94">
        <v>14</v>
      </c>
      <c r="N48" s="72"/>
      <c r="O48" s="72"/>
    </row>
    <row r="49" spans="1:15" ht="45">
      <c r="A49" s="108">
        <v>44</v>
      </c>
      <c r="B49" s="89">
        <v>84</v>
      </c>
      <c r="C49" s="90" t="s">
        <v>315</v>
      </c>
      <c r="D49" s="88" t="s">
        <v>56</v>
      </c>
      <c r="E49" s="94">
        <v>180100</v>
      </c>
      <c r="F49" s="94">
        <v>325</v>
      </c>
      <c r="G49" s="94"/>
      <c r="H49" s="94">
        <f t="shared" si="0"/>
        <v>325</v>
      </c>
      <c r="I49" s="94"/>
      <c r="J49" s="94"/>
      <c r="K49" s="94"/>
      <c r="L49" s="94"/>
      <c r="M49" s="94"/>
      <c r="N49" s="72"/>
      <c r="O49" s="72"/>
    </row>
    <row r="50" spans="1:15" ht="30">
      <c r="A50" s="108">
        <v>45</v>
      </c>
      <c r="B50" s="89">
        <v>84</v>
      </c>
      <c r="C50" s="90" t="s">
        <v>152</v>
      </c>
      <c r="D50" s="88" t="s">
        <v>287</v>
      </c>
      <c r="E50" s="94">
        <v>1400</v>
      </c>
      <c r="F50" s="94">
        <v>800</v>
      </c>
      <c r="G50" s="94"/>
      <c r="H50" s="94">
        <f t="shared" si="0"/>
        <v>800</v>
      </c>
      <c r="I50" s="94">
        <v>300</v>
      </c>
      <c r="J50" s="94">
        <v>300</v>
      </c>
      <c r="K50" s="94"/>
      <c r="L50" s="94"/>
      <c r="M50" s="94"/>
      <c r="N50" s="72"/>
      <c r="O50" s="72"/>
    </row>
    <row r="51" spans="1:15" ht="30">
      <c r="A51" s="108">
        <v>46</v>
      </c>
      <c r="B51" s="89">
        <v>84</v>
      </c>
      <c r="C51" s="90" t="s">
        <v>161</v>
      </c>
      <c r="D51" s="88" t="s">
        <v>287</v>
      </c>
      <c r="E51" s="94">
        <v>3905</v>
      </c>
      <c r="F51" s="94">
        <v>5</v>
      </c>
      <c r="G51" s="94"/>
      <c r="H51" s="94">
        <f t="shared" si="0"/>
        <v>5</v>
      </c>
      <c r="I51" s="94">
        <v>2000</v>
      </c>
      <c r="J51" s="94">
        <v>1900</v>
      </c>
      <c r="K51" s="94"/>
      <c r="L51" s="94"/>
      <c r="M51" s="94"/>
      <c r="N51" s="72"/>
      <c r="O51" s="72"/>
    </row>
    <row r="52" spans="1:15" ht="45">
      <c r="A52" s="108">
        <v>47</v>
      </c>
      <c r="B52" s="89">
        <v>84</v>
      </c>
      <c r="C52" s="90" t="s">
        <v>218</v>
      </c>
      <c r="D52" s="88" t="s">
        <v>287</v>
      </c>
      <c r="E52" s="95">
        <v>1905</v>
      </c>
      <c r="F52" s="94">
        <v>5</v>
      </c>
      <c r="G52" s="94"/>
      <c r="H52" s="94">
        <f t="shared" si="0"/>
        <v>5</v>
      </c>
      <c r="I52" s="94">
        <v>1900</v>
      </c>
      <c r="J52" s="94"/>
      <c r="K52" s="94"/>
      <c r="L52" s="94"/>
      <c r="M52" s="94"/>
      <c r="N52" s="72"/>
      <c r="O52" s="72"/>
    </row>
    <row r="53" spans="1:15" ht="30" customHeight="1">
      <c r="A53" s="108">
        <v>48</v>
      </c>
      <c r="B53" s="89">
        <v>84</v>
      </c>
      <c r="C53" s="90" t="s">
        <v>159</v>
      </c>
      <c r="D53" s="88" t="s">
        <v>287</v>
      </c>
      <c r="E53" s="94">
        <v>2005</v>
      </c>
      <c r="F53" s="94">
        <v>5</v>
      </c>
      <c r="G53" s="94"/>
      <c r="H53" s="94">
        <f t="shared" si="0"/>
        <v>5</v>
      </c>
      <c r="I53" s="94">
        <v>2000</v>
      </c>
      <c r="J53" s="94"/>
      <c r="K53" s="94"/>
      <c r="L53" s="94"/>
      <c r="M53" s="94"/>
      <c r="N53" s="72"/>
      <c r="O53" s="72"/>
    </row>
    <row r="54" spans="1:15" ht="45">
      <c r="A54" s="108">
        <v>49</v>
      </c>
      <c r="B54" s="89">
        <v>84</v>
      </c>
      <c r="C54" s="90" t="s">
        <v>178</v>
      </c>
      <c r="D54" s="88" t="s">
        <v>287</v>
      </c>
      <c r="E54" s="95">
        <v>205</v>
      </c>
      <c r="F54" s="94">
        <v>5</v>
      </c>
      <c r="G54" s="94"/>
      <c r="H54" s="94">
        <f t="shared" si="0"/>
        <v>5</v>
      </c>
      <c r="I54" s="94">
        <v>200</v>
      </c>
      <c r="J54" s="94"/>
      <c r="K54" s="94"/>
      <c r="L54" s="94"/>
      <c r="M54" s="94"/>
      <c r="N54" s="72"/>
      <c r="O54" s="72"/>
    </row>
    <row r="55" spans="1:15" ht="45">
      <c r="A55" s="108">
        <v>50</v>
      </c>
      <c r="B55" s="89">
        <v>84</v>
      </c>
      <c r="C55" s="90" t="s">
        <v>162</v>
      </c>
      <c r="D55" s="88" t="s">
        <v>287</v>
      </c>
      <c r="E55" s="94">
        <v>3505</v>
      </c>
      <c r="F55" s="94">
        <v>5</v>
      </c>
      <c r="G55" s="94"/>
      <c r="H55" s="94">
        <f t="shared" si="0"/>
        <v>5</v>
      </c>
      <c r="I55" s="94">
        <v>1500</v>
      </c>
      <c r="J55" s="94">
        <v>2000</v>
      </c>
      <c r="K55" s="94"/>
      <c r="L55" s="94"/>
      <c r="M55" s="94"/>
      <c r="N55" s="72"/>
      <c r="O55" s="72"/>
    </row>
    <row r="56" spans="1:15" ht="45">
      <c r="A56" s="108">
        <v>51</v>
      </c>
      <c r="B56" s="89">
        <v>84</v>
      </c>
      <c r="C56" s="90" t="s">
        <v>163</v>
      </c>
      <c r="D56" s="88" t="s">
        <v>287</v>
      </c>
      <c r="E56" s="94">
        <v>4065</v>
      </c>
      <c r="F56" s="94">
        <v>15</v>
      </c>
      <c r="G56" s="94"/>
      <c r="H56" s="94">
        <f t="shared" si="0"/>
        <v>15</v>
      </c>
      <c r="I56" s="94">
        <v>2000</v>
      </c>
      <c r="J56" s="94">
        <v>2050</v>
      </c>
      <c r="K56" s="94"/>
      <c r="L56" s="94"/>
      <c r="M56" s="94"/>
      <c r="N56" s="72"/>
      <c r="O56" s="72"/>
    </row>
    <row r="57" spans="1:15" ht="45">
      <c r="A57" s="108">
        <v>52</v>
      </c>
      <c r="B57" s="89">
        <v>84</v>
      </c>
      <c r="C57" s="90" t="s">
        <v>176</v>
      </c>
      <c r="D57" s="88" t="s">
        <v>287</v>
      </c>
      <c r="E57" s="95">
        <v>805</v>
      </c>
      <c r="F57" s="94">
        <v>5</v>
      </c>
      <c r="G57" s="94"/>
      <c r="H57" s="94">
        <f t="shared" si="0"/>
        <v>5</v>
      </c>
      <c r="I57" s="94">
        <v>800</v>
      </c>
      <c r="J57" s="94"/>
      <c r="K57" s="94"/>
      <c r="L57" s="94"/>
      <c r="M57" s="94"/>
      <c r="N57" s="72"/>
      <c r="O57" s="72"/>
    </row>
    <row r="58" spans="1:15" ht="30">
      <c r="A58" s="108">
        <v>53</v>
      </c>
      <c r="B58" s="89">
        <v>84</v>
      </c>
      <c r="C58" s="90" t="s">
        <v>221</v>
      </c>
      <c r="D58" s="88" t="s">
        <v>287</v>
      </c>
      <c r="E58" s="94">
        <v>34100</v>
      </c>
      <c r="F58" s="94">
        <v>50</v>
      </c>
      <c r="G58" s="94"/>
      <c r="H58" s="94">
        <f t="shared" si="0"/>
        <v>50</v>
      </c>
      <c r="I58" s="94">
        <v>10000</v>
      </c>
      <c r="J58" s="94">
        <v>10000</v>
      </c>
      <c r="K58" s="94">
        <v>14000</v>
      </c>
      <c r="L58" s="94"/>
      <c r="M58" s="94"/>
      <c r="N58" s="72"/>
      <c r="O58" s="72"/>
    </row>
    <row r="59" spans="1:15" ht="30">
      <c r="A59" s="108">
        <v>54</v>
      </c>
      <c r="B59" s="89">
        <v>84</v>
      </c>
      <c r="C59" s="90" t="s">
        <v>170</v>
      </c>
      <c r="D59" s="88" t="s">
        <v>287</v>
      </c>
      <c r="E59" s="94">
        <v>10</v>
      </c>
      <c r="F59" s="94">
        <v>5</v>
      </c>
      <c r="G59" s="94"/>
      <c r="H59" s="94">
        <f t="shared" si="0"/>
        <v>5</v>
      </c>
      <c r="I59" s="94">
        <v>5</v>
      </c>
      <c r="J59" s="94"/>
      <c r="K59" s="94"/>
      <c r="L59" s="94"/>
      <c r="M59" s="94"/>
      <c r="N59" s="72"/>
      <c r="O59" s="72"/>
    </row>
    <row r="60" spans="1:15" ht="30">
      <c r="A60" s="108">
        <v>55</v>
      </c>
      <c r="B60" s="89">
        <v>84</v>
      </c>
      <c r="C60" s="90" t="s">
        <v>189</v>
      </c>
      <c r="D60" s="88" t="s">
        <v>287</v>
      </c>
      <c r="E60" s="94">
        <v>46800</v>
      </c>
      <c r="F60" s="94">
        <v>300</v>
      </c>
      <c r="G60" s="94"/>
      <c r="H60" s="94">
        <f t="shared" si="0"/>
        <v>300</v>
      </c>
      <c r="I60" s="94">
        <v>14000</v>
      </c>
      <c r="J60" s="94">
        <v>14000</v>
      </c>
      <c r="K60" s="94">
        <v>18500</v>
      </c>
      <c r="L60" s="94"/>
      <c r="M60" s="94"/>
      <c r="N60" s="72"/>
      <c r="O60" s="72"/>
    </row>
    <row r="61" spans="1:15" ht="45">
      <c r="A61" s="108">
        <v>56</v>
      </c>
      <c r="B61" s="89">
        <v>84</v>
      </c>
      <c r="C61" s="90" t="s">
        <v>190</v>
      </c>
      <c r="D61" s="88" t="s">
        <v>287</v>
      </c>
      <c r="E61" s="94">
        <v>31505</v>
      </c>
      <c r="F61" s="94">
        <v>5</v>
      </c>
      <c r="G61" s="94"/>
      <c r="H61" s="94">
        <f t="shared" si="0"/>
        <v>5</v>
      </c>
      <c r="I61" s="94">
        <v>10000</v>
      </c>
      <c r="J61" s="94">
        <v>11000</v>
      </c>
      <c r="K61" s="94">
        <v>10500</v>
      </c>
      <c r="L61" s="94"/>
      <c r="M61" s="94"/>
      <c r="N61" s="72"/>
      <c r="O61" s="72"/>
    </row>
    <row r="62" spans="1:15" ht="45">
      <c r="A62" s="108">
        <v>57</v>
      </c>
      <c r="B62" s="89">
        <v>84</v>
      </c>
      <c r="C62" s="90" t="s">
        <v>191</v>
      </c>
      <c r="D62" s="88" t="s">
        <v>287</v>
      </c>
      <c r="E62" s="94">
        <v>18010</v>
      </c>
      <c r="F62" s="94">
        <v>10</v>
      </c>
      <c r="G62" s="94"/>
      <c r="H62" s="94">
        <f t="shared" si="0"/>
        <v>10</v>
      </c>
      <c r="I62" s="94">
        <v>8000</v>
      </c>
      <c r="J62" s="94">
        <v>7000</v>
      </c>
      <c r="K62" s="94">
        <v>3000</v>
      </c>
      <c r="L62" s="94"/>
      <c r="M62" s="94"/>
      <c r="N62" s="72"/>
      <c r="O62" s="72"/>
    </row>
    <row r="63" spans="1:15" ht="60">
      <c r="A63" s="108">
        <v>58</v>
      </c>
      <c r="B63" s="89">
        <v>84</v>
      </c>
      <c r="C63" s="90" t="s">
        <v>219</v>
      </c>
      <c r="D63" s="88" t="s">
        <v>287</v>
      </c>
      <c r="E63" s="94">
        <v>20585</v>
      </c>
      <c r="F63" s="94">
        <v>4000</v>
      </c>
      <c r="G63" s="94"/>
      <c r="H63" s="94">
        <f t="shared" si="0"/>
        <v>4000</v>
      </c>
      <c r="I63" s="94">
        <v>10000</v>
      </c>
      <c r="J63" s="94">
        <v>5900</v>
      </c>
      <c r="K63" s="94"/>
      <c r="L63" s="94"/>
      <c r="M63" s="94"/>
      <c r="N63" s="72"/>
      <c r="O63" s="72"/>
    </row>
    <row r="64" spans="1:15" ht="60">
      <c r="A64" s="108">
        <v>59</v>
      </c>
      <c r="B64" s="106">
        <v>84</v>
      </c>
      <c r="C64" s="107" t="s">
        <v>164</v>
      </c>
      <c r="D64" s="105" t="s">
        <v>287</v>
      </c>
      <c r="E64" s="94">
        <v>13505</v>
      </c>
      <c r="F64" s="94">
        <v>200</v>
      </c>
      <c r="G64" s="94">
        <v>-195</v>
      </c>
      <c r="H64" s="94">
        <f t="shared" si="0"/>
        <v>5</v>
      </c>
      <c r="I64" s="94">
        <v>4500</v>
      </c>
      <c r="J64" s="94">
        <v>9000</v>
      </c>
      <c r="K64" s="94"/>
      <c r="L64" s="94"/>
      <c r="M64" s="94"/>
      <c r="N64" s="72"/>
      <c r="O64" s="72"/>
    </row>
    <row r="65" spans="1:15" ht="45">
      <c r="A65" s="108">
        <v>60</v>
      </c>
      <c r="B65" s="89">
        <v>84</v>
      </c>
      <c r="C65" s="90" t="s">
        <v>316</v>
      </c>
      <c r="D65" s="88" t="s">
        <v>287</v>
      </c>
      <c r="E65" s="94">
        <v>1600</v>
      </c>
      <c r="F65" s="94">
        <v>800</v>
      </c>
      <c r="G65" s="94"/>
      <c r="H65" s="94">
        <f t="shared" si="0"/>
        <v>800</v>
      </c>
      <c r="I65" s="94">
        <v>800</v>
      </c>
      <c r="J65" s="94"/>
      <c r="K65" s="94"/>
      <c r="L65" s="94"/>
      <c r="M65" s="94"/>
      <c r="N65" s="72"/>
      <c r="O65" s="72"/>
    </row>
    <row r="66" spans="1:15" ht="45">
      <c r="A66" s="108">
        <v>61</v>
      </c>
      <c r="B66" s="89">
        <v>84</v>
      </c>
      <c r="C66" s="90" t="s">
        <v>160</v>
      </c>
      <c r="D66" s="88" t="s">
        <v>287</v>
      </c>
      <c r="E66" s="94">
        <v>18105</v>
      </c>
      <c r="F66" s="94">
        <v>5</v>
      </c>
      <c r="G66" s="94"/>
      <c r="H66" s="94">
        <f t="shared" si="0"/>
        <v>5</v>
      </c>
      <c r="I66" s="94">
        <v>9000</v>
      </c>
      <c r="J66" s="94">
        <v>9100</v>
      </c>
      <c r="K66" s="94"/>
      <c r="L66" s="94"/>
      <c r="M66" s="94"/>
      <c r="N66" s="72"/>
      <c r="O66" s="72"/>
    </row>
    <row r="67" spans="1:15" ht="30">
      <c r="A67" s="108">
        <v>62</v>
      </c>
      <c r="B67" s="89">
        <v>84</v>
      </c>
      <c r="C67" s="90" t="s">
        <v>165</v>
      </c>
      <c r="D67" s="88" t="s">
        <v>287</v>
      </c>
      <c r="E67" s="94">
        <v>7010</v>
      </c>
      <c r="F67" s="94">
        <v>10</v>
      </c>
      <c r="G67" s="94"/>
      <c r="H67" s="94">
        <f t="shared" si="0"/>
        <v>10</v>
      </c>
      <c r="I67" s="94">
        <v>3500</v>
      </c>
      <c r="J67" s="94">
        <v>3500</v>
      </c>
      <c r="K67" s="94"/>
      <c r="L67" s="94"/>
      <c r="M67" s="94"/>
      <c r="N67" s="72"/>
      <c r="O67" s="72"/>
    </row>
    <row r="68" spans="1:15" ht="30" customHeight="1">
      <c r="A68" s="108">
        <v>63</v>
      </c>
      <c r="B68" s="89">
        <v>84</v>
      </c>
      <c r="C68" s="90" t="s">
        <v>166</v>
      </c>
      <c r="D68" s="88" t="s">
        <v>287</v>
      </c>
      <c r="E68" s="94">
        <v>3510</v>
      </c>
      <c r="F68" s="94">
        <v>10</v>
      </c>
      <c r="G68" s="94"/>
      <c r="H68" s="94">
        <f t="shared" si="0"/>
        <v>10</v>
      </c>
      <c r="I68" s="94">
        <v>3500</v>
      </c>
      <c r="J68" s="94"/>
      <c r="K68" s="94"/>
      <c r="L68" s="94"/>
      <c r="M68" s="94"/>
      <c r="N68" s="72"/>
      <c r="O68" s="72"/>
    </row>
    <row r="69" spans="1:15" ht="30">
      <c r="A69" s="108">
        <v>64</v>
      </c>
      <c r="B69" s="89">
        <v>84</v>
      </c>
      <c r="C69" s="90" t="s">
        <v>215</v>
      </c>
      <c r="D69" s="88" t="s">
        <v>287</v>
      </c>
      <c r="E69" s="95">
        <v>1200</v>
      </c>
      <c r="F69" s="94">
        <v>800</v>
      </c>
      <c r="G69" s="94"/>
      <c r="H69" s="94">
        <f t="shared" si="0"/>
        <v>800</v>
      </c>
      <c r="I69" s="94">
        <v>400</v>
      </c>
      <c r="J69" s="94"/>
      <c r="K69" s="94"/>
      <c r="L69" s="94"/>
      <c r="M69" s="94"/>
      <c r="N69" s="72"/>
      <c r="O69" s="72"/>
    </row>
    <row r="70" spans="1:15" ht="30" customHeight="1">
      <c r="A70" s="108">
        <v>65</v>
      </c>
      <c r="B70" s="89">
        <v>84</v>
      </c>
      <c r="C70" s="90" t="s">
        <v>167</v>
      </c>
      <c r="D70" s="88" t="s">
        <v>287</v>
      </c>
      <c r="E70" s="94">
        <v>5510</v>
      </c>
      <c r="F70" s="94">
        <v>10</v>
      </c>
      <c r="G70" s="94"/>
      <c r="H70" s="94">
        <f t="shared" si="0"/>
        <v>10</v>
      </c>
      <c r="I70" s="94">
        <v>1300</v>
      </c>
      <c r="J70" s="94">
        <v>4200</v>
      </c>
      <c r="K70" s="94"/>
      <c r="L70" s="94"/>
      <c r="M70" s="94"/>
      <c r="N70" s="72"/>
      <c r="O70" s="72"/>
    </row>
    <row r="71" spans="1:15" ht="30">
      <c r="A71" s="108">
        <v>66</v>
      </c>
      <c r="B71" s="89">
        <v>84</v>
      </c>
      <c r="C71" s="90" t="s">
        <v>168</v>
      </c>
      <c r="D71" s="88" t="s">
        <v>287</v>
      </c>
      <c r="E71" s="94">
        <v>1810</v>
      </c>
      <c r="F71" s="94">
        <v>10</v>
      </c>
      <c r="G71" s="94"/>
      <c r="H71" s="94">
        <f t="shared" si="0"/>
        <v>10</v>
      </c>
      <c r="I71" s="94">
        <v>1800</v>
      </c>
      <c r="J71" s="94"/>
      <c r="K71" s="94"/>
      <c r="L71" s="94"/>
      <c r="M71" s="94"/>
      <c r="N71" s="72"/>
      <c r="O71" s="72"/>
    </row>
    <row r="72" spans="1:15" ht="45">
      <c r="A72" s="108">
        <v>67</v>
      </c>
      <c r="B72" s="89">
        <v>84</v>
      </c>
      <c r="C72" s="90" t="s">
        <v>169</v>
      </c>
      <c r="D72" s="88" t="s">
        <v>287</v>
      </c>
      <c r="E72" s="94">
        <v>4900</v>
      </c>
      <c r="F72" s="94">
        <v>200</v>
      </c>
      <c r="G72" s="94"/>
      <c r="H72" s="94">
        <f t="shared" ref="H72:H133" si="2">F72+G72</f>
        <v>200</v>
      </c>
      <c r="I72" s="94">
        <v>2200</v>
      </c>
      <c r="J72" s="94">
        <v>2500</v>
      </c>
      <c r="K72" s="94"/>
      <c r="L72" s="94"/>
      <c r="M72" s="94"/>
      <c r="N72" s="72"/>
      <c r="O72" s="72"/>
    </row>
    <row r="73" spans="1:15" ht="30">
      <c r="A73" s="108">
        <v>68</v>
      </c>
      <c r="B73" s="89">
        <v>84</v>
      </c>
      <c r="C73" s="90" t="s">
        <v>171</v>
      </c>
      <c r="D73" s="88" t="s">
        <v>287</v>
      </c>
      <c r="E73" s="94">
        <v>4610</v>
      </c>
      <c r="F73" s="94">
        <v>10</v>
      </c>
      <c r="G73" s="94"/>
      <c r="H73" s="94">
        <f t="shared" si="2"/>
        <v>10</v>
      </c>
      <c r="I73" s="94">
        <v>3100</v>
      </c>
      <c r="J73" s="94">
        <v>1500</v>
      </c>
      <c r="K73" s="94"/>
      <c r="L73" s="94"/>
      <c r="M73" s="94"/>
      <c r="N73" s="72"/>
      <c r="O73" s="72"/>
    </row>
    <row r="74" spans="1:15" ht="30">
      <c r="A74" s="108">
        <v>69</v>
      </c>
      <c r="B74" s="89">
        <v>84</v>
      </c>
      <c r="C74" s="90" t="s">
        <v>172</v>
      </c>
      <c r="D74" s="88" t="s">
        <v>287</v>
      </c>
      <c r="E74" s="94">
        <v>1105</v>
      </c>
      <c r="F74" s="94">
        <v>5</v>
      </c>
      <c r="G74" s="94"/>
      <c r="H74" s="94">
        <f t="shared" si="2"/>
        <v>5</v>
      </c>
      <c r="I74" s="94">
        <v>1100</v>
      </c>
      <c r="J74" s="94"/>
      <c r="K74" s="94"/>
      <c r="L74" s="94"/>
      <c r="M74" s="94"/>
      <c r="N74" s="72"/>
      <c r="O74" s="72"/>
    </row>
    <row r="75" spans="1:15" ht="45">
      <c r="A75" s="108">
        <v>70</v>
      </c>
      <c r="B75" s="89">
        <v>84</v>
      </c>
      <c r="C75" s="90" t="s">
        <v>173</v>
      </c>
      <c r="D75" s="88" t="s">
        <v>287</v>
      </c>
      <c r="E75" s="94">
        <v>1005</v>
      </c>
      <c r="F75" s="94">
        <v>5</v>
      </c>
      <c r="G75" s="94"/>
      <c r="H75" s="94">
        <f t="shared" si="2"/>
        <v>5</v>
      </c>
      <c r="I75" s="94">
        <v>1000</v>
      </c>
      <c r="J75" s="94"/>
      <c r="K75" s="94"/>
      <c r="L75" s="94"/>
      <c r="M75" s="94"/>
      <c r="N75" s="72"/>
      <c r="O75" s="72"/>
    </row>
    <row r="76" spans="1:15" ht="30" customHeight="1">
      <c r="A76" s="108">
        <v>71</v>
      </c>
      <c r="B76" s="89">
        <v>84</v>
      </c>
      <c r="C76" s="90" t="s">
        <v>217</v>
      </c>
      <c r="D76" s="88" t="s">
        <v>287</v>
      </c>
      <c r="E76" s="94">
        <v>1711</v>
      </c>
      <c r="F76" s="94">
        <v>1</v>
      </c>
      <c r="G76" s="94"/>
      <c r="H76" s="94">
        <f t="shared" si="2"/>
        <v>1</v>
      </c>
      <c r="I76" s="94">
        <v>10</v>
      </c>
      <c r="J76" s="94">
        <v>1700</v>
      </c>
      <c r="K76" s="94"/>
      <c r="L76" s="94"/>
      <c r="M76" s="94"/>
      <c r="N76" s="72"/>
      <c r="O76" s="72"/>
    </row>
    <row r="77" spans="1:15" ht="45">
      <c r="A77" s="108">
        <v>72</v>
      </c>
      <c r="B77" s="89">
        <v>84</v>
      </c>
      <c r="C77" s="90" t="s">
        <v>181</v>
      </c>
      <c r="D77" s="88" t="s">
        <v>287</v>
      </c>
      <c r="E77" s="94">
        <v>11</v>
      </c>
      <c r="F77" s="94">
        <v>5</v>
      </c>
      <c r="G77" s="94"/>
      <c r="H77" s="94">
        <f t="shared" si="2"/>
        <v>5</v>
      </c>
      <c r="I77" s="95">
        <f>1+5</f>
        <v>6</v>
      </c>
      <c r="J77" s="94"/>
      <c r="K77" s="94"/>
      <c r="L77" s="94"/>
      <c r="M77" s="94"/>
      <c r="N77" s="72"/>
      <c r="O77" s="72"/>
    </row>
    <row r="78" spans="1:15" ht="30">
      <c r="A78" s="108">
        <v>73</v>
      </c>
      <c r="B78" s="89">
        <v>84</v>
      </c>
      <c r="C78" s="90" t="s">
        <v>182</v>
      </c>
      <c r="D78" s="88" t="s">
        <v>287</v>
      </c>
      <c r="E78" s="94">
        <v>20</v>
      </c>
      <c r="F78" s="94">
        <v>1</v>
      </c>
      <c r="G78" s="94"/>
      <c r="H78" s="94">
        <f t="shared" si="2"/>
        <v>1</v>
      </c>
      <c r="I78" s="94">
        <v>19</v>
      </c>
      <c r="J78" s="94"/>
      <c r="K78" s="94"/>
      <c r="L78" s="94"/>
      <c r="M78" s="94"/>
      <c r="N78" s="72"/>
      <c r="O78" s="72"/>
    </row>
    <row r="79" spans="1:15" ht="45">
      <c r="A79" s="108">
        <v>74</v>
      </c>
      <c r="B79" s="89">
        <v>84</v>
      </c>
      <c r="C79" s="90" t="s">
        <v>183</v>
      </c>
      <c r="D79" s="88" t="s">
        <v>287</v>
      </c>
      <c r="E79" s="94">
        <v>10</v>
      </c>
      <c r="F79" s="94">
        <v>5</v>
      </c>
      <c r="G79" s="94"/>
      <c r="H79" s="94">
        <f t="shared" si="2"/>
        <v>5</v>
      </c>
      <c r="I79" s="94">
        <v>5</v>
      </c>
      <c r="J79" s="94"/>
      <c r="K79" s="94"/>
      <c r="L79" s="94"/>
      <c r="M79" s="94"/>
      <c r="N79" s="72"/>
      <c r="O79" s="72"/>
    </row>
    <row r="80" spans="1:15" ht="45">
      <c r="A80" s="108">
        <v>75</v>
      </c>
      <c r="B80" s="89">
        <v>84</v>
      </c>
      <c r="C80" s="90" t="s">
        <v>317</v>
      </c>
      <c r="D80" s="88" t="s">
        <v>287</v>
      </c>
      <c r="E80" s="94">
        <v>155</v>
      </c>
      <c r="F80" s="94">
        <v>5</v>
      </c>
      <c r="G80" s="94"/>
      <c r="H80" s="94">
        <f t="shared" si="2"/>
        <v>5</v>
      </c>
      <c r="I80" s="94">
        <v>150</v>
      </c>
      <c r="J80" s="94"/>
      <c r="K80" s="94"/>
      <c r="L80" s="94"/>
      <c r="M80" s="94"/>
      <c r="N80" s="72"/>
      <c r="O80" s="72"/>
    </row>
    <row r="81" spans="1:15" ht="30">
      <c r="A81" s="108">
        <v>76</v>
      </c>
      <c r="B81" s="89">
        <v>84</v>
      </c>
      <c r="C81" s="90" t="s">
        <v>184</v>
      </c>
      <c r="D81" s="88" t="s">
        <v>287</v>
      </c>
      <c r="E81" s="94">
        <v>275</v>
      </c>
      <c r="F81" s="94">
        <v>265</v>
      </c>
      <c r="G81" s="94"/>
      <c r="H81" s="94">
        <f t="shared" si="2"/>
        <v>265</v>
      </c>
      <c r="I81" s="94">
        <v>10</v>
      </c>
      <c r="J81" s="94"/>
      <c r="K81" s="94"/>
      <c r="L81" s="94"/>
      <c r="M81" s="94"/>
      <c r="N81" s="72"/>
      <c r="O81" s="72"/>
    </row>
    <row r="82" spans="1:15" ht="57">
      <c r="A82" s="108">
        <v>77</v>
      </c>
      <c r="B82" s="89">
        <v>84</v>
      </c>
      <c r="C82" s="101" t="s">
        <v>185</v>
      </c>
      <c r="D82" s="88" t="s">
        <v>287</v>
      </c>
      <c r="E82" s="94">
        <v>353</v>
      </c>
      <c r="F82" s="94">
        <v>3</v>
      </c>
      <c r="G82" s="94"/>
      <c r="H82" s="94">
        <f t="shared" si="2"/>
        <v>3</v>
      </c>
      <c r="I82" s="94">
        <v>350</v>
      </c>
      <c r="J82" s="94"/>
      <c r="K82" s="94"/>
      <c r="L82" s="94"/>
      <c r="M82" s="94"/>
      <c r="N82" s="72"/>
      <c r="O82" s="72"/>
    </row>
    <row r="83" spans="1:15" ht="30">
      <c r="A83" s="108">
        <v>78</v>
      </c>
      <c r="B83" s="89">
        <v>84</v>
      </c>
      <c r="C83" s="101" t="s">
        <v>186</v>
      </c>
      <c r="D83" s="88" t="s">
        <v>287</v>
      </c>
      <c r="E83" s="94">
        <v>39</v>
      </c>
      <c r="F83" s="94">
        <v>1</v>
      </c>
      <c r="G83" s="94"/>
      <c r="H83" s="94">
        <f t="shared" si="2"/>
        <v>1</v>
      </c>
      <c r="I83" s="94">
        <v>38</v>
      </c>
      <c r="J83" s="94"/>
      <c r="K83" s="94"/>
      <c r="L83" s="94"/>
      <c r="M83" s="94"/>
      <c r="N83" s="72"/>
      <c r="O83" s="72"/>
    </row>
    <row r="84" spans="1:15" ht="57">
      <c r="A84" s="108">
        <v>79</v>
      </c>
      <c r="B84" s="89">
        <v>84</v>
      </c>
      <c r="C84" s="101" t="s">
        <v>193</v>
      </c>
      <c r="D84" s="88" t="s">
        <v>287</v>
      </c>
      <c r="E84" s="94">
        <v>168000</v>
      </c>
      <c r="F84" s="94">
        <v>3000</v>
      </c>
      <c r="G84" s="94"/>
      <c r="H84" s="94">
        <f t="shared" si="2"/>
        <v>3000</v>
      </c>
      <c r="I84" s="94">
        <v>55000</v>
      </c>
      <c r="J84" s="94">
        <v>55000</v>
      </c>
      <c r="K84" s="94">
        <v>55000</v>
      </c>
      <c r="L84" s="94"/>
      <c r="M84" s="94"/>
      <c r="N84" s="72"/>
      <c r="O84" s="72"/>
    </row>
    <row r="85" spans="1:15" ht="42.75">
      <c r="A85" s="108">
        <v>80</v>
      </c>
      <c r="B85" s="89">
        <v>84</v>
      </c>
      <c r="C85" s="101" t="s">
        <v>194</v>
      </c>
      <c r="D85" s="88" t="s">
        <v>287</v>
      </c>
      <c r="E85" s="94">
        <v>6300</v>
      </c>
      <c r="F85" s="94">
        <v>1500</v>
      </c>
      <c r="G85" s="94"/>
      <c r="H85" s="94">
        <f t="shared" si="2"/>
        <v>1500</v>
      </c>
      <c r="I85" s="94">
        <v>4800</v>
      </c>
      <c r="J85" s="94"/>
      <c r="K85" s="94"/>
      <c r="L85" s="94"/>
      <c r="M85" s="94"/>
      <c r="N85" s="72"/>
      <c r="O85" s="72"/>
    </row>
    <row r="86" spans="1:15" ht="42.75">
      <c r="A86" s="108">
        <v>81</v>
      </c>
      <c r="B86" s="89">
        <v>84</v>
      </c>
      <c r="C86" s="101" t="s">
        <v>195</v>
      </c>
      <c r="D86" s="88" t="s">
        <v>287</v>
      </c>
      <c r="E86" s="94">
        <v>26000</v>
      </c>
      <c r="F86" s="94">
        <v>3000</v>
      </c>
      <c r="G86" s="94"/>
      <c r="H86" s="94">
        <f t="shared" si="2"/>
        <v>3000</v>
      </c>
      <c r="I86" s="94">
        <v>7000</v>
      </c>
      <c r="J86" s="94">
        <v>8000</v>
      </c>
      <c r="K86" s="94">
        <v>8000</v>
      </c>
      <c r="L86" s="94"/>
      <c r="M86" s="94"/>
      <c r="N86" s="72"/>
      <c r="O86" s="72"/>
    </row>
    <row r="87" spans="1:15" ht="57">
      <c r="A87" s="108">
        <v>82</v>
      </c>
      <c r="B87" s="89">
        <v>84</v>
      </c>
      <c r="C87" s="101" t="s">
        <v>318</v>
      </c>
      <c r="D87" s="88" t="s">
        <v>287</v>
      </c>
      <c r="E87" s="94">
        <v>4</v>
      </c>
      <c r="F87" s="94">
        <v>3</v>
      </c>
      <c r="G87" s="94"/>
      <c r="H87" s="94">
        <f t="shared" si="2"/>
        <v>3</v>
      </c>
      <c r="I87" s="94">
        <v>1</v>
      </c>
      <c r="J87" s="94"/>
      <c r="K87" s="94"/>
      <c r="L87" s="94"/>
      <c r="M87" s="94"/>
      <c r="N87" s="72"/>
      <c r="O87" s="72"/>
    </row>
    <row r="88" spans="1:15" ht="42.75">
      <c r="A88" s="108">
        <v>83</v>
      </c>
      <c r="B88" s="89">
        <v>84</v>
      </c>
      <c r="C88" s="101" t="s">
        <v>216</v>
      </c>
      <c r="D88" s="88" t="s">
        <v>287</v>
      </c>
      <c r="E88" s="94">
        <v>1005</v>
      </c>
      <c r="F88" s="94">
        <v>5</v>
      </c>
      <c r="G88" s="94"/>
      <c r="H88" s="94">
        <f t="shared" si="2"/>
        <v>5</v>
      </c>
      <c r="I88" s="94">
        <v>1000</v>
      </c>
      <c r="J88" s="94"/>
      <c r="K88" s="94"/>
      <c r="L88" s="94"/>
      <c r="M88" s="94"/>
      <c r="N88" s="72"/>
      <c r="O88" s="72"/>
    </row>
    <row r="89" spans="1:15" ht="42.75">
      <c r="A89" s="108">
        <v>84</v>
      </c>
      <c r="B89" s="89">
        <v>84</v>
      </c>
      <c r="C89" s="101" t="s">
        <v>174</v>
      </c>
      <c r="D89" s="88" t="s">
        <v>287</v>
      </c>
      <c r="E89" s="94">
        <v>1545</v>
      </c>
      <c r="F89" s="94">
        <v>50</v>
      </c>
      <c r="G89" s="94"/>
      <c r="H89" s="94">
        <f t="shared" si="2"/>
        <v>50</v>
      </c>
      <c r="I89" s="94">
        <v>1495</v>
      </c>
      <c r="J89" s="94"/>
      <c r="K89" s="94"/>
      <c r="L89" s="94"/>
      <c r="M89" s="94"/>
      <c r="N89" s="72"/>
      <c r="O89" s="72"/>
    </row>
    <row r="90" spans="1:15" ht="30">
      <c r="A90" s="108">
        <v>85</v>
      </c>
      <c r="B90" s="89">
        <v>84</v>
      </c>
      <c r="C90" s="101" t="s">
        <v>352</v>
      </c>
      <c r="D90" s="88" t="s">
        <v>287</v>
      </c>
      <c r="E90" s="94">
        <v>50</v>
      </c>
      <c r="F90" s="94">
        <v>45</v>
      </c>
      <c r="G90" s="94"/>
      <c r="H90" s="94">
        <f t="shared" si="2"/>
        <v>45</v>
      </c>
      <c r="I90" s="94">
        <v>5</v>
      </c>
      <c r="J90" s="94"/>
      <c r="K90" s="94"/>
      <c r="L90" s="94"/>
      <c r="M90" s="94"/>
      <c r="N90" s="72"/>
      <c r="O90" s="72"/>
    </row>
    <row r="91" spans="1:15" ht="57">
      <c r="A91" s="108">
        <v>86</v>
      </c>
      <c r="B91" s="89">
        <v>84</v>
      </c>
      <c r="C91" s="101" t="s">
        <v>179</v>
      </c>
      <c r="D91" s="88" t="s">
        <v>287</v>
      </c>
      <c r="E91" s="95">
        <v>1010</v>
      </c>
      <c r="F91" s="94">
        <v>1000</v>
      </c>
      <c r="G91" s="94"/>
      <c r="H91" s="94">
        <f t="shared" si="2"/>
        <v>1000</v>
      </c>
      <c r="I91" s="94">
        <v>10</v>
      </c>
      <c r="J91" s="94"/>
      <c r="K91" s="94"/>
      <c r="L91" s="94"/>
      <c r="M91" s="94"/>
      <c r="N91" s="72"/>
      <c r="O91" s="72"/>
    </row>
    <row r="92" spans="1:15" ht="42.75">
      <c r="A92" s="108">
        <v>87</v>
      </c>
      <c r="B92" s="89">
        <v>84</v>
      </c>
      <c r="C92" s="101" t="s">
        <v>180</v>
      </c>
      <c r="D92" s="88" t="s">
        <v>287</v>
      </c>
      <c r="E92" s="94">
        <v>105</v>
      </c>
      <c r="F92" s="94">
        <v>5</v>
      </c>
      <c r="G92" s="94"/>
      <c r="H92" s="94">
        <f t="shared" si="2"/>
        <v>5</v>
      </c>
      <c r="I92" s="94">
        <v>100</v>
      </c>
      <c r="J92" s="94"/>
      <c r="K92" s="94"/>
      <c r="L92" s="94"/>
      <c r="M92" s="94"/>
      <c r="N92" s="72"/>
      <c r="O92" s="72"/>
    </row>
    <row r="93" spans="1:15" ht="30">
      <c r="A93" s="108">
        <v>88</v>
      </c>
      <c r="B93" s="89">
        <v>84</v>
      </c>
      <c r="C93" s="101" t="s">
        <v>187</v>
      </c>
      <c r="D93" s="88" t="s">
        <v>287</v>
      </c>
      <c r="E93" s="94">
        <v>6</v>
      </c>
      <c r="F93" s="94">
        <v>2</v>
      </c>
      <c r="G93" s="94"/>
      <c r="H93" s="94">
        <f t="shared" si="2"/>
        <v>2</v>
      </c>
      <c r="I93" s="94">
        <v>2</v>
      </c>
      <c r="J93" s="94">
        <v>2</v>
      </c>
      <c r="K93" s="94"/>
      <c r="L93" s="94"/>
      <c r="M93" s="94"/>
      <c r="N93" s="72"/>
      <c r="O93" s="72"/>
    </row>
    <row r="94" spans="1:15" ht="30">
      <c r="A94" s="108">
        <v>89</v>
      </c>
      <c r="B94" s="89">
        <v>84</v>
      </c>
      <c r="C94" s="101" t="s">
        <v>188</v>
      </c>
      <c r="D94" s="88" t="s">
        <v>287</v>
      </c>
      <c r="E94" s="94">
        <v>1779</v>
      </c>
      <c r="F94" s="94">
        <v>5</v>
      </c>
      <c r="G94" s="94"/>
      <c r="H94" s="94">
        <f t="shared" si="2"/>
        <v>5</v>
      </c>
      <c r="I94" s="94">
        <v>5</v>
      </c>
      <c r="J94" s="94">
        <v>5</v>
      </c>
      <c r="K94" s="94"/>
      <c r="L94" s="94"/>
      <c r="M94" s="94"/>
      <c r="N94" s="72"/>
      <c r="O94" s="72"/>
    </row>
    <row r="95" spans="1:15" ht="42.75">
      <c r="A95" s="108">
        <v>90</v>
      </c>
      <c r="B95" s="89">
        <v>84</v>
      </c>
      <c r="C95" s="101" t="s">
        <v>192</v>
      </c>
      <c r="D95" s="88" t="s">
        <v>287</v>
      </c>
      <c r="E95" s="94">
        <v>13716</v>
      </c>
      <c r="F95" s="94">
        <v>4000</v>
      </c>
      <c r="G95" s="94"/>
      <c r="H95" s="94">
        <f t="shared" si="2"/>
        <v>4000</v>
      </c>
      <c r="I95" s="94">
        <v>8000</v>
      </c>
      <c r="J95" s="94">
        <v>500</v>
      </c>
      <c r="K95" s="94"/>
      <c r="L95" s="94"/>
      <c r="M95" s="94"/>
      <c r="N95" s="72"/>
      <c r="O95" s="72"/>
    </row>
    <row r="96" spans="1:15" ht="42.75">
      <c r="A96" s="108">
        <v>91</v>
      </c>
      <c r="B96" s="89">
        <v>84</v>
      </c>
      <c r="C96" s="101" t="s">
        <v>319</v>
      </c>
      <c r="D96" s="88" t="s">
        <v>287</v>
      </c>
      <c r="E96" s="94">
        <v>11000</v>
      </c>
      <c r="F96" s="94">
        <v>2000</v>
      </c>
      <c r="G96" s="94"/>
      <c r="H96" s="94">
        <f t="shared" si="2"/>
        <v>2000</v>
      </c>
      <c r="I96" s="94">
        <v>9000</v>
      </c>
      <c r="J96" s="94"/>
      <c r="K96" s="94"/>
      <c r="L96" s="94"/>
      <c r="M96" s="94"/>
      <c r="N96" s="72"/>
      <c r="O96" s="72"/>
    </row>
    <row r="97" spans="1:15" ht="42.75">
      <c r="A97" s="108">
        <v>92</v>
      </c>
      <c r="B97" s="89">
        <v>84</v>
      </c>
      <c r="C97" s="101" t="s">
        <v>220</v>
      </c>
      <c r="D97" s="88" t="s">
        <v>287</v>
      </c>
      <c r="E97" s="94">
        <v>3238</v>
      </c>
      <c r="F97" s="94">
        <v>0</v>
      </c>
      <c r="G97" s="94"/>
      <c r="H97" s="94">
        <f t="shared" si="2"/>
        <v>0</v>
      </c>
      <c r="I97" s="94">
        <v>3000</v>
      </c>
      <c r="J97" s="94"/>
      <c r="K97" s="94"/>
      <c r="L97" s="94"/>
      <c r="M97" s="94"/>
      <c r="N97" s="72"/>
      <c r="O97" s="72"/>
    </row>
    <row r="98" spans="1:15" s="100" customFormat="1" ht="42.75">
      <c r="A98" s="108">
        <v>93</v>
      </c>
      <c r="B98" s="96">
        <v>84</v>
      </c>
      <c r="C98" s="102" t="s">
        <v>249</v>
      </c>
      <c r="D98" s="98" t="s">
        <v>287</v>
      </c>
      <c r="E98" s="99">
        <v>211</v>
      </c>
      <c r="F98" s="99">
        <v>1</v>
      </c>
      <c r="G98" s="99"/>
      <c r="H98" s="94">
        <f t="shared" si="2"/>
        <v>1</v>
      </c>
      <c r="I98" s="99">
        <v>210</v>
      </c>
      <c r="J98" s="99"/>
      <c r="K98" s="99"/>
      <c r="L98" s="99"/>
      <c r="M98" s="99"/>
      <c r="N98" s="72"/>
    </row>
    <row r="99" spans="1:15" s="100" customFormat="1" ht="30">
      <c r="A99" s="108">
        <v>94</v>
      </c>
      <c r="B99" s="96">
        <v>84</v>
      </c>
      <c r="C99" s="102" t="s">
        <v>254</v>
      </c>
      <c r="D99" s="98" t="s">
        <v>287</v>
      </c>
      <c r="E99" s="103">
        <v>3600</v>
      </c>
      <c r="F99" s="99">
        <v>1500</v>
      </c>
      <c r="G99" s="99"/>
      <c r="H99" s="94">
        <f t="shared" si="2"/>
        <v>1500</v>
      </c>
      <c r="I99" s="99">
        <v>1500</v>
      </c>
      <c r="J99" s="99"/>
      <c r="K99" s="99"/>
      <c r="L99" s="99"/>
      <c r="M99" s="99"/>
      <c r="N99" s="72"/>
    </row>
    <row r="100" spans="1:15" s="100" customFormat="1" ht="57">
      <c r="A100" s="108">
        <v>95</v>
      </c>
      <c r="B100" s="96">
        <v>84</v>
      </c>
      <c r="C100" s="102" t="s">
        <v>213</v>
      </c>
      <c r="D100" s="98" t="s">
        <v>287</v>
      </c>
      <c r="E100" s="99">
        <v>145</v>
      </c>
      <c r="F100" s="99">
        <v>5</v>
      </c>
      <c r="G100" s="99"/>
      <c r="H100" s="94">
        <f t="shared" si="2"/>
        <v>5</v>
      </c>
      <c r="I100" s="99">
        <v>140</v>
      </c>
      <c r="J100" s="99"/>
      <c r="K100" s="99"/>
      <c r="L100" s="99"/>
      <c r="M100" s="99"/>
      <c r="N100" s="72"/>
    </row>
    <row r="101" spans="1:15" s="100" customFormat="1" ht="71.25">
      <c r="A101" s="108">
        <v>96</v>
      </c>
      <c r="B101" s="96">
        <v>84</v>
      </c>
      <c r="C101" s="102" t="s">
        <v>320</v>
      </c>
      <c r="D101" s="98" t="s">
        <v>287</v>
      </c>
      <c r="E101" s="99">
        <v>123</v>
      </c>
      <c r="F101" s="99">
        <v>3</v>
      </c>
      <c r="G101" s="99"/>
      <c r="H101" s="94">
        <f t="shared" si="2"/>
        <v>3</v>
      </c>
      <c r="I101" s="99">
        <v>120</v>
      </c>
      <c r="J101" s="99"/>
      <c r="K101" s="99"/>
      <c r="L101" s="99"/>
      <c r="M101" s="99"/>
      <c r="N101" s="72"/>
    </row>
    <row r="102" spans="1:15" s="100" customFormat="1" ht="42.75">
      <c r="A102" s="108">
        <v>97</v>
      </c>
      <c r="B102" s="96">
        <v>84</v>
      </c>
      <c r="C102" s="102" t="s">
        <v>321</v>
      </c>
      <c r="D102" s="98" t="s">
        <v>287</v>
      </c>
      <c r="E102" s="99">
        <v>220</v>
      </c>
      <c r="F102" s="99">
        <v>100</v>
      </c>
      <c r="G102" s="99"/>
      <c r="H102" s="94">
        <f t="shared" si="2"/>
        <v>100</v>
      </c>
      <c r="I102" s="99">
        <v>120</v>
      </c>
      <c r="J102" s="99"/>
      <c r="K102" s="99"/>
      <c r="L102" s="99"/>
      <c r="M102" s="99"/>
      <c r="N102" s="72"/>
    </row>
    <row r="103" spans="1:15" s="100" customFormat="1" ht="30">
      <c r="A103" s="108">
        <v>98</v>
      </c>
      <c r="B103" s="96">
        <v>84</v>
      </c>
      <c r="C103" s="102" t="s">
        <v>157</v>
      </c>
      <c r="D103" s="98" t="s">
        <v>287</v>
      </c>
      <c r="E103" s="99">
        <v>155</v>
      </c>
      <c r="F103" s="99">
        <v>5</v>
      </c>
      <c r="G103" s="99"/>
      <c r="H103" s="94">
        <f t="shared" si="2"/>
        <v>5</v>
      </c>
      <c r="I103" s="99">
        <v>150</v>
      </c>
      <c r="J103" s="99"/>
      <c r="K103" s="99"/>
      <c r="L103" s="99"/>
      <c r="M103" s="99"/>
      <c r="N103" s="72"/>
    </row>
    <row r="104" spans="1:15" s="100" customFormat="1" ht="30">
      <c r="A104" s="108">
        <v>99</v>
      </c>
      <c r="B104" s="96">
        <v>84</v>
      </c>
      <c r="C104" s="102" t="s">
        <v>322</v>
      </c>
      <c r="D104" s="98" t="s">
        <v>287</v>
      </c>
      <c r="E104" s="99">
        <v>250</v>
      </c>
      <c r="F104" s="99">
        <v>10</v>
      </c>
      <c r="G104" s="99"/>
      <c r="H104" s="94">
        <f t="shared" si="2"/>
        <v>10</v>
      </c>
      <c r="I104" s="99">
        <v>240</v>
      </c>
      <c r="J104" s="99"/>
      <c r="K104" s="99"/>
      <c r="L104" s="99"/>
      <c r="M104" s="99"/>
      <c r="N104" s="72"/>
    </row>
    <row r="105" spans="1:15" s="100" customFormat="1" ht="30">
      <c r="A105" s="108">
        <v>100</v>
      </c>
      <c r="B105" s="96">
        <v>84</v>
      </c>
      <c r="C105" s="102" t="s">
        <v>210</v>
      </c>
      <c r="D105" s="98" t="s">
        <v>287</v>
      </c>
      <c r="E105" s="99">
        <v>9</v>
      </c>
      <c r="F105" s="99">
        <v>1</v>
      </c>
      <c r="G105" s="99"/>
      <c r="H105" s="94">
        <f t="shared" si="2"/>
        <v>1</v>
      </c>
      <c r="I105" s="99">
        <v>8</v>
      </c>
      <c r="J105" s="99"/>
      <c r="K105" s="99"/>
      <c r="L105" s="99"/>
      <c r="M105" s="99"/>
      <c r="N105" s="72"/>
    </row>
    <row r="106" spans="1:15" s="100" customFormat="1" ht="30">
      <c r="A106" s="108">
        <v>101</v>
      </c>
      <c r="B106" s="96">
        <v>84</v>
      </c>
      <c r="C106" s="102" t="s">
        <v>347</v>
      </c>
      <c r="D106" s="104" t="s">
        <v>56</v>
      </c>
      <c r="E106" s="99">
        <v>14884</v>
      </c>
      <c r="F106" s="99">
        <v>14884</v>
      </c>
      <c r="G106" s="99"/>
      <c r="H106" s="94">
        <f t="shared" si="2"/>
        <v>14884</v>
      </c>
      <c r="I106" s="99"/>
      <c r="J106" s="99"/>
      <c r="K106" s="99"/>
      <c r="L106" s="99"/>
      <c r="M106" s="99"/>
      <c r="N106" s="72"/>
    </row>
    <row r="107" spans="1:15" s="100" customFormat="1" ht="46.5" customHeight="1">
      <c r="A107" s="108">
        <v>102</v>
      </c>
      <c r="B107" s="96">
        <v>84</v>
      </c>
      <c r="C107" s="102" t="s">
        <v>211</v>
      </c>
      <c r="D107" s="98" t="s">
        <v>287</v>
      </c>
      <c r="E107" s="99">
        <v>80</v>
      </c>
      <c r="F107" s="99">
        <v>10</v>
      </c>
      <c r="G107" s="99"/>
      <c r="H107" s="94">
        <f t="shared" si="2"/>
        <v>10</v>
      </c>
      <c r="I107" s="99">
        <v>70</v>
      </c>
      <c r="J107" s="99"/>
      <c r="K107" s="99"/>
      <c r="L107" s="99"/>
      <c r="M107" s="99"/>
      <c r="N107" s="72"/>
    </row>
    <row r="108" spans="1:15" s="100" customFormat="1" ht="46.5" customHeight="1">
      <c r="A108" s="108">
        <v>103</v>
      </c>
      <c r="B108" s="96">
        <v>84</v>
      </c>
      <c r="C108" s="102" t="s">
        <v>153</v>
      </c>
      <c r="D108" s="98" t="s">
        <v>287</v>
      </c>
      <c r="E108" s="99">
        <v>79</v>
      </c>
      <c r="F108" s="99">
        <v>5</v>
      </c>
      <c r="G108" s="99"/>
      <c r="H108" s="94">
        <f t="shared" si="2"/>
        <v>5</v>
      </c>
      <c r="I108" s="99">
        <v>5</v>
      </c>
      <c r="J108" s="99"/>
      <c r="K108" s="99"/>
      <c r="L108" s="99"/>
      <c r="M108" s="99"/>
      <c r="N108" s="72"/>
    </row>
    <row r="109" spans="1:15" s="100" customFormat="1" ht="46.5" customHeight="1">
      <c r="A109" s="108">
        <v>104</v>
      </c>
      <c r="B109" s="96">
        <v>84</v>
      </c>
      <c r="C109" s="102" t="s">
        <v>154</v>
      </c>
      <c r="D109" s="98" t="s">
        <v>287</v>
      </c>
      <c r="E109" s="99">
        <v>41</v>
      </c>
      <c r="F109" s="99">
        <v>1</v>
      </c>
      <c r="G109" s="99"/>
      <c r="H109" s="94">
        <f t="shared" si="2"/>
        <v>1</v>
      </c>
      <c r="I109" s="99">
        <v>3</v>
      </c>
      <c r="J109" s="99"/>
      <c r="K109" s="99"/>
      <c r="L109" s="99"/>
      <c r="M109" s="99"/>
      <c r="N109" s="72"/>
    </row>
    <row r="110" spans="1:15" s="100" customFormat="1" ht="46.5" customHeight="1">
      <c r="A110" s="108">
        <v>105</v>
      </c>
      <c r="B110" s="96">
        <v>84</v>
      </c>
      <c r="C110" s="102" t="s">
        <v>212</v>
      </c>
      <c r="D110" s="98" t="s">
        <v>287</v>
      </c>
      <c r="E110" s="99">
        <v>62</v>
      </c>
      <c r="F110" s="99">
        <v>1</v>
      </c>
      <c r="G110" s="99"/>
      <c r="H110" s="94">
        <f t="shared" si="2"/>
        <v>1</v>
      </c>
      <c r="I110" s="99">
        <v>4</v>
      </c>
      <c r="J110" s="99"/>
      <c r="K110" s="99"/>
      <c r="L110" s="99"/>
      <c r="M110" s="99"/>
      <c r="N110" s="72"/>
    </row>
    <row r="111" spans="1:15" s="100" customFormat="1" ht="46.5" customHeight="1">
      <c r="A111" s="108">
        <v>106</v>
      </c>
      <c r="B111" s="96">
        <v>84</v>
      </c>
      <c r="C111" s="102" t="s">
        <v>275</v>
      </c>
      <c r="D111" s="98" t="s">
        <v>287</v>
      </c>
      <c r="E111" s="99">
        <v>57</v>
      </c>
      <c r="F111" s="99">
        <v>2</v>
      </c>
      <c r="G111" s="99"/>
      <c r="H111" s="94">
        <f t="shared" si="2"/>
        <v>2</v>
      </c>
      <c r="I111" s="99">
        <v>2</v>
      </c>
      <c r="J111" s="99"/>
      <c r="K111" s="99"/>
      <c r="L111" s="99"/>
      <c r="M111" s="99"/>
      <c r="N111" s="72"/>
    </row>
    <row r="112" spans="1:15" s="100" customFormat="1" ht="46.5" customHeight="1">
      <c r="A112" s="108">
        <v>107</v>
      </c>
      <c r="B112" s="96">
        <v>84</v>
      </c>
      <c r="C112" s="102" t="s">
        <v>155</v>
      </c>
      <c r="D112" s="98" t="s">
        <v>287</v>
      </c>
      <c r="E112" s="99">
        <v>65</v>
      </c>
      <c r="F112" s="99">
        <v>1</v>
      </c>
      <c r="G112" s="99"/>
      <c r="H112" s="94">
        <f t="shared" si="2"/>
        <v>1</v>
      </c>
      <c r="I112" s="99">
        <v>4</v>
      </c>
      <c r="J112" s="99"/>
      <c r="K112" s="99"/>
      <c r="L112" s="99"/>
      <c r="M112" s="99"/>
      <c r="N112" s="72"/>
    </row>
    <row r="113" spans="1:14" s="100" customFormat="1" ht="46.5" customHeight="1">
      <c r="A113" s="108">
        <v>108</v>
      </c>
      <c r="B113" s="96">
        <v>84</v>
      </c>
      <c r="C113" s="102" t="s">
        <v>214</v>
      </c>
      <c r="D113" s="98" t="s">
        <v>287</v>
      </c>
      <c r="E113" s="99">
        <v>155</v>
      </c>
      <c r="F113" s="99">
        <v>5</v>
      </c>
      <c r="G113" s="99"/>
      <c r="H113" s="94">
        <f t="shared" si="2"/>
        <v>5</v>
      </c>
      <c r="I113" s="99">
        <v>150</v>
      </c>
      <c r="J113" s="99"/>
      <c r="K113" s="99"/>
      <c r="L113" s="99"/>
      <c r="M113" s="99"/>
      <c r="N113" s="72"/>
    </row>
    <row r="114" spans="1:14" s="100" customFormat="1" ht="57">
      <c r="A114" s="108">
        <v>109</v>
      </c>
      <c r="B114" s="96">
        <v>84</v>
      </c>
      <c r="C114" s="102" t="s">
        <v>246</v>
      </c>
      <c r="D114" s="98" t="s">
        <v>287</v>
      </c>
      <c r="E114" s="99">
        <v>120</v>
      </c>
      <c r="F114" s="99">
        <v>10</v>
      </c>
      <c r="G114" s="99"/>
      <c r="H114" s="94">
        <f t="shared" si="2"/>
        <v>10</v>
      </c>
      <c r="I114" s="99">
        <v>110</v>
      </c>
      <c r="J114" s="99"/>
      <c r="K114" s="99"/>
      <c r="L114" s="99"/>
      <c r="M114" s="99"/>
      <c r="N114" s="72"/>
    </row>
    <row r="115" spans="1:14" s="100" customFormat="1" ht="42.75">
      <c r="A115" s="108">
        <v>110</v>
      </c>
      <c r="B115" s="96">
        <v>84</v>
      </c>
      <c r="C115" s="102" t="s">
        <v>348</v>
      </c>
      <c r="D115" s="98" t="s">
        <v>287</v>
      </c>
      <c r="E115" s="99">
        <v>220</v>
      </c>
      <c r="F115" s="99">
        <v>120</v>
      </c>
      <c r="G115" s="99"/>
      <c r="H115" s="94">
        <f t="shared" si="2"/>
        <v>120</v>
      </c>
      <c r="I115" s="99">
        <v>100</v>
      </c>
      <c r="J115" s="99"/>
      <c r="K115" s="99"/>
      <c r="L115" s="99"/>
      <c r="M115" s="99"/>
      <c r="N115" s="72"/>
    </row>
    <row r="116" spans="1:14" s="100" customFormat="1" ht="30">
      <c r="A116" s="108">
        <v>111</v>
      </c>
      <c r="B116" s="96">
        <v>84</v>
      </c>
      <c r="C116" s="102" t="s">
        <v>276</v>
      </c>
      <c r="D116" s="98" t="s">
        <v>287</v>
      </c>
      <c r="E116" s="99">
        <v>260</v>
      </c>
      <c r="F116" s="99">
        <v>10</v>
      </c>
      <c r="G116" s="99"/>
      <c r="H116" s="94">
        <f t="shared" si="2"/>
        <v>10</v>
      </c>
      <c r="I116" s="99">
        <v>250</v>
      </c>
      <c r="J116" s="99"/>
      <c r="K116" s="99"/>
      <c r="L116" s="99"/>
      <c r="M116" s="99"/>
      <c r="N116" s="72"/>
    </row>
    <row r="117" spans="1:14" s="100" customFormat="1" ht="30">
      <c r="A117" s="108">
        <v>112</v>
      </c>
      <c r="B117" s="96">
        <v>84</v>
      </c>
      <c r="C117" s="102" t="s">
        <v>156</v>
      </c>
      <c r="D117" s="98" t="s">
        <v>287</v>
      </c>
      <c r="E117" s="99">
        <v>900</v>
      </c>
      <c r="F117" s="99">
        <v>600</v>
      </c>
      <c r="G117" s="99"/>
      <c r="H117" s="94">
        <f t="shared" si="2"/>
        <v>600</v>
      </c>
      <c r="I117" s="99">
        <v>300</v>
      </c>
      <c r="J117" s="99"/>
      <c r="K117" s="99"/>
      <c r="L117" s="99"/>
      <c r="M117" s="99"/>
      <c r="N117" s="72"/>
    </row>
    <row r="118" spans="1:14" s="100" customFormat="1" ht="30">
      <c r="A118" s="108">
        <v>113</v>
      </c>
      <c r="B118" s="96">
        <v>84</v>
      </c>
      <c r="C118" s="102" t="s">
        <v>158</v>
      </c>
      <c r="D118" s="98" t="s">
        <v>287</v>
      </c>
      <c r="E118" s="99">
        <v>1500</v>
      </c>
      <c r="F118" s="99">
        <v>1000</v>
      </c>
      <c r="G118" s="99"/>
      <c r="H118" s="94">
        <f t="shared" si="2"/>
        <v>1000</v>
      </c>
      <c r="I118" s="99">
        <v>500</v>
      </c>
      <c r="J118" s="99"/>
      <c r="K118" s="99"/>
      <c r="L118" s="99"/>
      <c r="M118" s="99"/>
      <c r="N118" s="72"/>
    </row>
    <row r="119" spans="1:14" s="100" customFormat="1" ht="30">
      <c r="A119" s="108">
        <v>114</v>
      </c>
      <c r="B119" s="96">
        <v>84</v>
      </c>
      <c r="C119" s="102" t="s">
        <v>247</v>
      </c>
      <c r="D119" s="98" t="s">
        <v>287</v>
      </c>
      <c r="E119" s="99">
        <v>12005</v>
      </c>
      <c r="F119" s="99">
        <v>5</v>
      </c>
      <c r="G119" s="99"/>
      <c r="H119" s="94">
        <f t="shared" si="2"/>
        <v>5</v>
      </c>
      <c r="I119" s="99">
        <v>5000</v>
      </c>
      <c r="J119" s="99">
        <v>7000</v>
      </c>
      <c r="K119" s="99"/>
      <c r="L119" s="99"/>
      <c r="M119" s="99"/>
      <c r="N119" s="72"/>
    </row>
    <row r="120" spans="1:14" s="100" customFormat="1" ht="30">
      <c r="A120" s="108">
        <v>115</v>
      </c>
      <c r="B120" s="96">
        <v>84</v>
      </c>
      <c r="C120" s="102" t="s">
        <v>248</v>
      </c>
      <c r="D120" s="98" t="s">
        <v>287</v>
      </c>
      <c r="E120" s="99">
        <v>550</v>
      </c>
      <c r="F120" s="99">
        <v>300</v>
      </c>
      <c r="G120" s="99"/>
      <c r="H120" s="94">
        <f t="shared" si="2"/>
        <v>300</v>
      </c>
      <c r="I120" s="99">
        <v>250</v>
      </c>
      <c r="J120" s="99"/>
      <c r="K120" s="99"/>
      <c r="L120" s="99"/>
      <c r="M120" s="99"/>
      <c r="N120" s="72"/>
    </row>
    <row r="121" spans="1:14" s="100" customFormat="1" ht="30">
      <c r="A121" s="108">
        <v>116</v>
      </c>
      <c r="B121" s="96">
        <v>84</v>
      </c>
      <c r="C121" s="102" t="s">
        <v>277</v>
      </c>
      <c r="D121" s="98" t="s">
        <v>287</v>
      </c>
      <c r="E121" s="99">
        <v>805</v>
      </c>
      <c r="F121" s="99">
        <v>5</v>
      </c>
      <c r="G121" s="99"/>
      <c r="H121" s="94">
        <f t="shared" si="2"/>
        <v>5</v>
      </c>
      <c r="I121" s="99">
        <v>800</v>
      </c>
      <c r="J121" s="99"/>
      <c r="K121" s="99"/>
      <c r="L121" s="99"/>
      <c r="M121" s="99"/>
      <c r="N121" s="72"/>
    </row>
    <row r="122" spans="1:14" s="100" customFormat="1" ht="42.75">
      <c r="A122" s="108">
        <v>117</v>
      </c>
      <c r="B122" s="96">
        <v>84</v>
      </c>
      <c r="C122" s="102" t="s">
        <v>349</v>
      </c>
      <c r="D122" s="98" t="s">
        <v>287</v>
      </c>
      <c r="E122" s="99">
        <v>400</v>
      </c>
      <c r="F122" s="99">
        <v>150</v>
      </c>
      <c r="G122" s="99"/>
      <c r="H122" s="94">
        <f t="shared" si="2"/>
        <v>150</v>
      </c>
      <c r="I122" s="99">
        <v>250</v>
      </c>
      <c r="J122" s="99"/>
      <c r="K122" s="99"/>
      <c r="L122" s="99"/>
      <c r="M122" s="99"/>
      <c r="N122" s="72"/>
    </row>
    <row r="123" spans="1:14" s="100" customFormat="1" ht="57">
      <c r="A123" s="108">
        <v>118</v>
      </c>
      <c r="B123" s="96">
        <v>84</v>
      </c>
      <c r="C123" s="102" t="s">
        <v>175</v>
      </c>
      <c r="D123" s="98" t="s">
        <v>287</v>
      </c>
      <c r="E123" s="99">
        <v>715</v>
      </c>
      <c r="F123" s="99">
        <v>5</v>
      </c>
      <c r="G123" s="99"/>
      <c r="H123" s="94">
        <f t="shared" si="2"/>
        <v>5</v>
      </c>
      <c r="I123" s="99">
        <v>710</v>
      </c>
      <c r="J123" s="99"/>
      <c r="K123" s="99"/>
      <c r="L123" s="99"/>
      <c r="M123" s="99"/>
      <c r="N123" s="72"/>
    </row>
    <row r="124" spans="1:14" s="100" customFormat="1" ht="30">
      <c r="A124" s="108">
        <v>119</v>
      </c>
      <c r="B124" s="96">
        <v>84</v>
      </c>
      <c r="C124" s="102" t="s">
        <v>177</v>
      </c>
      <c r="D124" s="98" t="s">
        <v>287</v>
      </c>
      <c r="E124" s="99">
        <v>31</v>
      </c>
      <c r="F124" s="99">
        <v>1</v>
      </c>
      <c r="G124" s="99"/>
      <c r="H124" s="94">
        <f t="shared" si="2"/>
        <v>1</v>
      </c>
      <c r="I124" s="99">
        <v>30</v>
      </c>
      <c r="J124" s="99"/>
      <c r="K124" s="99"/>
      <c r="L124" s="99"/>
      <c r="M124" s="99"/>
      <c r="N124" s="72"/>
    </row>
    <row r="125" spans="1:14" s="100" customFormat="1" ht="42.75">
      <c r="A125" s="108">
        <v>120</v>
      </c>
      <c r="B125" s="96">
        <v>84</v>
      </c>
      <c r="C125" s="102" t="s">
        <v>250</v>
      </c>
      <c r="D125" s="98" t="s">
        <v>287</v>
      </c>
      <c r="E125" s="99">
        <v>725</v>
      </c>
      <c r="F125" s="99">
        <v>5</v>
      </c>
      <c r="G125" s="99"/>
      <c r="H125" s="94">
        <f t="shared" si="2"/>
        <v>5</v>
      </c>
      <c r="I125" s="99">
        <v>720</v>
      </c>
      <c r="J125" s="99"/>
      <c r="K125" s="99"/>
      <c r="L125" s="99"/>
      <c r="M125" s="99"/>
      <c r="N125" s="72"/>
    </row>
    <row r="126" spans="1:14" s="100" customFormat="1" ht="42.75">
      <c r="A126" s="108">
        <v>121</v>
      </c>
      <c r="B126" s="96">
        <v>84</v>
      </c>
      <c r="C126" s="102" t="s">
        <v>251</v>
      </c>
      <c r="D126" s="98" t="s">
        <v>287</v>
      </c>
      <c r="E126" s="99">
        <v>95</v>
      </c>
      <c r="F126" s="99">
        <v>5</v>
      </c>
      <c r="G126" s="99"/>
      <c r="H126" s="94">
        <f t="shared" si="2"/>
        <v>5</v>
      </c>
      <c r="I126" s="99">
        <v>90</v>
      </c>
      <c r="J126" s="99"/>
      <c r="K126" s="99"/>
      <c r="L126" s="99"/>
      <c r="M126" s="99"/>
      <c r="N126" s="72"/>
    </row>
    <row r="127" spans="1:14" s="100" customFormat="1" ht="30">
      <c r="A127" s="108">
        <v>122</v>
      </c>
      <c r="B127" s="96">
        <v>84</v>
      </c>
      <c r="C127" s="102" t="s">
        <v>252</v>
      </c>
      <c r="D127" s="98" t="s">
        <v>287</v>
      </c>
      <c r="E127" s="99">
        <v>90</v>
      </c>
      <c r="F127" s="99">
        <v>5</v>
      </c>
      <c r="G127" s="99"/>
      <c r="H127" s="94">
        <f t="shared" si="2"/>
        <v>5</v>
      </c>
      <c r="I127" s="99">
        <v>85</v>
      </c>
      <c r="J127" s="99"/>
      <c r="K127" s="99"/>
      <c r="L127" s="99"/>
      <c r="M127" s="99"/>
      <c r="N127" s="72"/>
    </row>
    <row r="128" spans="1:14" s="100" customFormat="1" ht="30">
      <c r="A128" s="108">
        <v>123</v>
      </c>
      <c r="B128" s="96">
        <v>84</v>
      </c>
      <c r="C128" s="102" t="s">
        <v>253</v>
      </c>
      <c r="D128" s="98" t="s">
        <v>287</v>
      </c>
      <c r="E128" s="99">
        <v>125</v>
      </c>
      <c r="F128" s="99">
        <v>5</v>
      </c>
      <c r="G128" s="99"/>
      <c r="H128" s="94">
        <f t="shared" si="2"/>
        <v>5</v>
      </c>
      <c r="I128" s="99">
        <v>120</v>
      </c>
      <c r="J128" s="99"/>
      <c r="K128" s="99"/>
      <c r="L128" s="99"/>
      <c r="M128" s="99"/>
      <c r="N128" s="72"/>
    </row>
    <row r="129" spans="1:15" s="100" customFormat="1" ht="42.75">
      <c r="A129" s="108">
        <v>124</v>
      </c>
      <c r="B129" s="96">
        <v>84</v>
      </c>
      <c r="C129" s="102" t="s">
        <v>278</v>
      </c>
      <c r="D129" s="98" t="s">
        <v>287</v>
      </c>
      <c r="E129" s="99">
        <v>355</v>
      </c>
      <c r="F129" s="99">
        <v>5</v>
      </c>
      <c r="G129" s="99"/>
      <c r="H129" s="94">
        <f t="shared" si="2"/>
        <v>5</v>
      </c>
      <c r="I129" s="99">
        <v>350</v>
      </c>
      <c r="J129" s="99"/>
      <c r="K129" s="99"/>
      <c r="L129" s="99"/>
      <c r="M129" s="99"/>
      <c r="N129" s="72"/>
    </row>
    <row r="130" spans="1:15" s="100" customFormat="1" ht="42.75">
      <c r="A130" s="108">
        <v>125</v>
      </c>
      <c r="B130" s="96">
        <v>84</v>
      </c>
      <c r="C130" s="102" t="s">
        <v>279</v>
      </c>
      <c r="D130" s="98" t="s">
        <v>287</v>
      </c>
      <c r="E130" s="99">
        <v>355</v>
      </c>
      <c r="F130" s="99">
        <v>5</v>
      </c>
      <c r="G130" s="99"/>
      <c r="H130" s="94">
        <f t="shared" si="2"/>
        <v>5</v>
      </c>
      <c r="I130" s="99">
        <v>350</v>
      </c>
      <c r="J130" s="99"/>
      <c r="K130" s="99"/>
      <c r="L130" s="99"/>
      <c r="M130" s="99"/>
      <c r="N130" s="72"/>
    </row>
    <row r="131" spans="1:15" s="100" customFormat="1" ht="57">
      <c r="A131" s="108">
        <v>126</v>
      </c>
      <c r="B131" s="96">
        <v>84</v>
      </c>
      <c r="C131" s="102" t="s">
        <v>280</v>
      </c>
      <c r="D131" s="98" t="s">
        <v>287</v>
      </c>
      <c r="E131" s="99">
        <v>355</v>
      </c>
      <c r="F131" s="99">
        <v>5</v>
      </c>
      <c r="G131" s="99"/>
      <c r="H131" s="94">
        <f t="shared" si="2"/>
        <v>5</v>
      </c>
      <c r="I131" s="99">
        <v>350</v>
      </c>
      <c r="J131" s="99"/>
      <c r="K131" s="99"/>
      <c r="L131" s="99"/>
      <c r="M131" s="99"/>
      <c r="N131" s="72"/>
    </row>
    <row r="132" spans="1:15" s="100" customFormat="1" ht="42.75">
      <c r="A132" s="108">
        <v>127</v>
      </c>
      <c r="B132" s="96">
        <v>84</v>
      </c>
      <c r="C132" s="102" t="s">
        <v>350</v>
      </c>
      <c r="D132" s="98" t="s">
        <v>287</v>
      </c>
      <c r="E132" s="99">
        <v>10</v>
      </c>
      <c r="F132" s="99">
        <v>5</v>
      </c>
      <c r="G132" s="99"/>
      <c r="H132" s="94">
        <f t="shared" si="2"/>
        <v>5</v>
      </c>
      <c r="I132" s="99">
        <v>5</v>
      </c>
      <c r="J132" s="99"/>
      <c r="K132" s="99"/>
      <c r="L132" s="99"/>
      <c r="M132" s="99"/>
      <c r="N132" s="72"/>
    </row>
    <row r="133" spans="1:15" s="100" customFormat="1" ht="42.75">
      <c r="A133" s="108">
        <v>128</v>
      </c>
      <c r="B133" s="96">
        <v>84</v>
      </c>
      <c r="C133" s="102" t="s">
        <v>255</v>
      </c>
      <c r="D133" s="98" t="s">
        <v>287</v>
      </c>
      <c r="E133" s="99">
        <v>200050</v>
      </c>
      <c r="F133" s="99">
        <v>50</v>
      </c>
      <c r="G133" s="99"/>
      <c r="H133" s="94">
        <f t="shared" si="2"/>
        <v>50</v>
      </c>
      <c r="I133" s="99">
        <v>60000</v>
      </c>
      <c r="J133" s="99">
        <v>60000</v>
      </c>
      <c r="K133" s="99">
        <v>80000</v>
      </c>
      <c r="L133" s="99"/>
      <c r="M133" s="99"/>
      <c r="N133" s="72"/>
    </row>
    <row r="134" spans="1:15" s="63" customFormat="1">
      <c r="A134" s="79"/>
      <c r="B134" s="79"/>
      <c r="C134" s="77" t="s">
        <v>150</v>
      </c>
      <c r="D134" s="80"/>
      <c r="E134" s="81">
        <f>SUM(E6:E133)</f>
        <v>1534680</v>
      </c>
      <c r="F134" s="81">
        <f>SUM(F6:F133)</f>
        <v>282655</v>
      </c>
      <c r="G134" s="81">
        <f t="shared" ref="F134:M134" si="3">SUM(G6:G133)</f>
        <v>-271</v>
      </c>
      <c r="H134" s="81">
        <f t="shared" si="3"/>
        <v>282384</v>
      </c>
      <c r="I134" s="81">
        <f t="shared" si="3"/>
        <v>374025</v>
      </c>
      <c r="J134" s="81">
        <f t="shared" si="3"/>
        <v>258286</v>
      </c>
      <c r="K134" s="81">
        <f t="shared" si="3"/>
        <v>195135</v>
      </c>
      <c r="L134" s="81">
        <f t="shared" si="3"/>
        <v>1261</v>
      </c>
      <c r="M134" s="81">
        <f t="shared" si="3"/>
        <v>14</v>
      </c>
      <c r="N134" s="72"/>
      <c r="O134" s="72"/>
    </row>
    <row r="135" spans="1:15">
      <c r="A135" s="82"/>
      <c r="B135" s="82"/>
      <c r="C135" s="83"/>
      <c r="D135" s="84"/>
      <c r="E135" s="85"/>
      <c r="F135" s="85"/>
      <c r="G135" s="85"/>
      <c r="H135" s="85"/>
      <c r="I135" s="85"/>
      <c r="J135" s="85"/>
      <c r="K135" s="85"/>
      <c r="L135" s="85"/>
      <c r="M135" s="85"/>
    </row>
    <row r="136" spans="1:15">
      <c r="A136" s="82"/>
      <c r="B136" s="82"/>
      <c r="C136" s="83"/>
      <c r="D136" s="84"/>
      <c r="E136" s="85"/>
      <c r="F136" s="85"/>
      <c r="G136" s="85"/>
      <c r="H136" s="85"/>
      <c r="I136" s="85"/>
      <c r="J136" s="85"/>
      <c r="K136" s="85"/>
      <c r="L136" s="85"/>
      <c r="M136" s="85"/>
    </row>
    <row r="137" spans="1:15">
      <c r="A137" s="82"/>
      <c r="B137" s="82"/>
      <c r="C137" s="83"/>
      <c r="D137" s="84"/>
      <c r="E137" s="85"/>
      <c r="F137" s="85"/>
      <c r="G137" s="85"/>
      <c r="H137" s="85"/>
      <c r="I137" s="85"/>
      <c r="J137" s="85"/>
      <c r="K137" s="85"/>
      <c r="L137" s="85"/>
      <c r="M137" s="85"/>
    </row>
    <row r="138" spans="1:15">
      <c r="A138" s="82"/>
      <c r="B138" s="82"/>
      <c r="C138" s="83"/>
      <c r="D138" s="84"/>
      <c r="E138" s="85"/>
      <c r="F138" s="85"/>
      <c r="G138" s="85"/>
      <c r="H138" s="85"/>
      <c r="I138" s="85"/>
      <c r="J138" s="85"/>
      <c r="K138" s="85"/>
      <c r="L138" s="85"/>
      <c r="M138" s="85"/>
    </row>
    <row r="139" spans="1:15">
      <c r="A139" s="82"/>
      <c r="B139" s="82"/>
      <c r="C139" s="83"/>
      <c r="D139" s="84"/>
      <c r="E139" s="85"/>
      <c r="F139" s="85"/>
      <c r="G139" s="85"/>
      <c r="H139" s="85"/>
      <c r="I139" s="85"/>
      <c r="J139" s="85"/>
      <c r="K139" s="85"/>
      <c r="L139" s="85"/>
      <c r="M139" s="85"/>
    </row>
    <row r="140" spans="1:15">
      <c r="A140" s="82"/>
      <c r="B140" s="82"/>
      <c r="C140" s="83"/>
      <c r="D140" s="84"/>
      <c r="E140" s="85"/>
      <c r="F140" s="85"/>
      <c r="G140" s="85"/>
      <c r="H140" s="85"/>
      <c r="I140" s="85"/>
      <c r="J140" s="85"/>
      <c r="K140" s="85"/>
      <c r="L140" s="85"/>
      <c r="M140" s="85"/>
    </row>
    <row r="141" spans="1:15">
      <c r="A141" s="82"/>
      <c r="B141" s="82"/>
      <c r="C141" s="83"/>
      <c r="D141" s="84"/>
      <c r="E141" s="85"/>
      <c r="F141" s="85"/>
      <c r="G141" s="85"/>
      <c r="H141" s="85"/>
      <c r="I141" s="85"/>
      <c r="J141" s="85"/>
      <c r="K141" s="85"/>
      <c r="L141" s="85"/>
      <c r="M141" s="85"/>
    </row>
    <row r="142" spans="1:15">
      <c r="A142" s="82"/>
      <c r="B142" s="82"/>
      <c r="C142" s="83"/>
      <c r="D142" s="84"/>
      <c r="E142" s="85"/>
      <c r="F142" s="85"/>
      <c r="G142" s="85"/>
      <c r="H142" s="85"/>
      <c r="I142" s="85"/>
      <c r="J142" s="85"/>
      <c r="K142" s="85"/>
      <c r="L142" s="85"/>
      <c r="M142" s="85"/>
    </row>
    <row r="143" spans="1:15">
      <c r="A143" s="82"/>
      <c r="B143" s="82"/>
      <c r="C143" s="83"/>
      <c r="D143" s="84"/>
      <c r="E143" s="85"/>
      <c r="F143" s="85"/>
      <c r="G143" s="85"/>
      <c r="H143" s="85"/>
      <c r="I143" s="85"/>
      <c r="J143" s="85"/>
      <c r="K143" s="85"/>
      <c r="L143" s="85"/>
      <c r="M143" s="85"/>
    </row>
    <row r="144" spans="1:15">
      <c r="A144" s="82"/>
      <c r="B144" s="82"/>
      <c r="C144" s="83"/>
      <c r="D144" s="84"/>
      <c r="E144" s="85"/>
      <c r="F144" s="85"/>
      <c r="G144" s="85"/>
      <c r="H144" s="85"/>
      <c r="I144" s="85"/>
      <c r="J144" s="85"/>
      <c r="K144" s="85"/>
      <c r="L144" s="85"/>
      <c r="M144" s="85"/>
    </row>
    <row r="145" spans="1:13">
      <c r="A145" s="82"/>
      <c r="B145" s="82"/>
      <c r="C145" s="83"/>
      <c r="D145" s="84"/>
      <c r="E145" s="85"/>
      <c r="F145" s="85"/>
      <c r="G145" s="85"/>
      <c r="H145" s="85"/>
      <c r="I145" s="85"/>
      <c r="J145" s="85"/>
      <c r="K145" s="85"/>
      <c r="L145" s="85"/>
      <c r="M145" s="85"/>
    </row>
    <row r="146" spans="1:13">
      <c r="A146" s="82"/>
      <c r="B146" s="82"/>
      <c r="C146" s="83"/>
      <c r="D146" s="84"/>
      <c r="E146" s="85"/>
      <c r="F146" s="85"/>
      <c r="G146" s="85"/>
      <c r="H146" s="85"/>
      <c r="I146" s="85"/>
      <c r="J146" s="85"/>
      <c r="K146" s="85"/>
      <c r="L146" s="85"/>
      <c r="M146" s="85"/>
    </row>
    <row r="147" spans="1:13">
      <c r="A147" s="82"/>
      <c r="B147" s="82"/>
      <c r="C147" s="83"/>
      <c r="D147" s="84"/>
      <c r="E147" s="85"/>
      <c r="F147" s="85"/>
      <c r="G147" s="85"/>
      <c r="H147" s="85"/>
      <c r="I147" s="85"/>
      <c r="J147" s="85"/>
      <c r="K147" s="85"/>
      <c r="L147" s="85"/>
      <c r="M147" s="85"/>
    </row>
    <row r="148" spans="1:13">
      <c r="A148" s="82"/>
      <c r="B148" s="82"/>
      <c r="C148" s="83"/>
      <c r="D148" s="84"/>
      <c r="E148" s="85"/>
      <c r="F148" s="85"/>
      <c r="G148" s="85"/>
      <c r="H148" s="85"/>
      <c r="I148" s="85"/>
      <c r="J148" s="85"/>
      <c r="K148" s="85"/>
      <c r="L148" s="85"/>
      <c r="M148" s="85"/>
    </row>
    <row r="149" spans="1:13">
      <c r="A149" s="82"/>
      <c r="B149" s="82"/>
      <c r="C149" s="83"/>
      <c r="D149" s="84"/>
      <c r="E149" s="85"/>
      <c r="F149" s="85"/>
      <c r="G149" s="85"/>
      <c r="H149" s="85"/>
      <c r="I149" s="85"/>
      <c r="J149" s="85"/>
      <c r="K149" s="85"/>
      <c r="L149" s="85"/>
      <c r="M149" s="85"/>
    </row>
    <row r="150" spans="1:13">
      <c r="A150" s="82"/>
      <c r="B150" s="82"/>
      <c r="C150" s="83"/>
      <c r="D150" s="84"/>
      <c r="E150" s="85"/>
      <c r="F150" s="85"/>
      <c r="G150" s="85"/>
      <c r="H150" s="85"/>
      <c r="I150" s="85"/>
      <c r="J150" s="85"/>
      <c r="K150" s="85"/>
      <c r="L150" s="85"/>
      <c r="M150" s="85"/>
    </row>
    <row r="151" spans="1:13">
      <c r="A151" s="82"/>
      <c r="B151" s="82"/>
      <c r="C151" s="83"/>
      <c r="D151" s="84"/>
      <c r="E151" s="85"/>
      <c r="F151" s="85"/>
      <c r="G151" s="85"/>
      <c r="H151" s="85"/>
      <c r="I151" s="85"/>
      <c r="J151" s="85"/>
      <c r="K151" s="85"/>
      <c r="L151" s="85"/>
      <c r="M151" s="85"/>
    </row>
    <row r="152" spans="1:13">
      <c r="A152" s="82"/>
      <c r="B152" s="82"/>
      <c r="C152" s="83"/>
      <c r="D152" s="84"/>
      <c r="E152" s="85"/>
      <c r="F152" s="85"/>
      <c r="G152" s="85"/>
      <c r="H152" s="85"/>
      <c r="I152" s="85"/>
      <c r="J152" s="85"/>
      <c r="K152" s="85"/>
      <c r="L152" s="85"/>
      <c r="M152" s="85"/>
    </row>
    <row r="153" spans="1:13">
      <c r="A153" s="82"/>
      <c r="B153" s="82"/>
      <c r="C153" s="83"/>
      <c r="D153" s="84"/>
      <c r="E153" s="85"/>
      <c r="F153" s="85"/>
      <c r="G153" s="85"/>
      <c r="H153" s="85"/>
      <c r="I153" s="85"/>
      <c r="J153" s="85"/>
      <c r="K153" s="85"/>
      <c r="L153" s="85"/>
      <c r="M153" s="85"/>
    </row>
    <row r="154" spans="1:13">
      <c r="A154" s="82"/>
      <c r="B154" s="82"/>
      <c r="C154" s="83"/>
      <c r="D154" s="84"/>
      <c r="E154" s="85"/>
      <c r="F154" s="85"/>
      <c r="G154" s="85"/>
      <c r="H154" s="85"/>
      <c r="I154" s="85"/>
      <c r="J154" s="85"/>
      <c r="K154" s="85"/>
      <c r="L154" s="85"/>
      <c r="M154" s="85"/>
    </row>
    <row r="155" spans="1:13">
      <c r="A155" s="82"/>
      <c r="B155" s="82"/>
      <c r="C155" s="83"/>
      <c r="D155" s="84"/>
      <c r="E155" s="85"/>
      <c r="F155" s="85"/>
      <c r="G155" s="85"/>
      <c r="H155" s="85"/>
      <c r="I155" s="85"/>
      <c r="J155" s="85"/>
      <c r="K155" s="85"/>
      <c r="L155" s="85"/>
      <c r="M155" s="85"/>
    </row>
    <row r="156" spans="1:13">
      <c r="A156" s="82"/>
      <c r="B156" s="82"/>
      <c r="C156" s="83"/>
      <c r="D156" s="84"/>
      <c r="E156" s="85"/>
      <c r="F156" s="85"/>
      <c r="G156" s="85"/>
      <c r="H156" s="85"/>
      <c r="I156" s="85"/>
      <c r="J156" s="85"/>
      <c r="K156" s="85"/>
      <c r="L156" s="85"/>
      <c r="M156" s="85"/>
    </row>
    <row r="157" spans="1:13">
      <c r="A157" s="82"/>
      <c r="B157" s="82"/>
      <c r="C157" s="83"/>
      <c r="D157" s="84"/>
      <c r="E157" s="85"/>
      <c r="F157" s="85"/>
      <c r="G157" s="85"/>
      <c r="H157" s="85"/>
      <c r="I157" s="85"/>
      <c r="J157" s="85"/>
      <c r="K157" s="85"/>
      <c r="L157" s="85"/>
      <c r="M157" s="85"/>
    </row>
    <row r="158" spans="1:13">
      <c r="A158" s="82"/>
      <c r="B158" s="82"/>
      <c r="C158" s="83"/>
      <c r="D158" s="84"/>
      <c r="E158" s="85"/>
      <c r="F158" s="85"/>
      <c r="G158" s="85"/>
      <c r="H158" s="85"/>
      <c r="I158" s="85"/>
      <c r="J158" s="85"/>
      <c r="K158" s="85"/>
      <c r="L158" s="85"/>
      <c r="M158" s="85"/>
    </row>
    <row r="159" spans="1:13">
      <c r="A159" s="82"/>
      <c r="B159" s="82"/>
      <c r="C159" s="83"/>
      <c r="D159" s="84"/>
      <c r="E159" s="85"/>
      <c r="F159" s="85"/>
      <c r="G159" s="85"/>
      <c r="H159" s="85"/>
      <c r="I159" s="85"/>
      <c r="J159" s="85"/>
      <c r="K159" s="85"/>
      <c r="L159" s="85"/>
      <c r="M159" s="85"/>
    </row>
    <row r="160" spans="1:13">
      <c r="A160" s="82"/>
      <c r="B160" s="82"/>
      <c r="C160" s="83"/>
      <c r="D160" s="84"/>
      <c r="E160" s="85"/>
      <c r="F160" s="85"/>
      <c r="G160" s="85"/>
      <c r="H160" s="85"/>
      <c r="I160" s="85"/>
      <c r="J160" s="85"/>
      <c r="K160" s="85"/>
      <c r="L160" s="85"/>
      <c r="M160" s="85"/>
    </row>
    <row r="161" spans="1:13">
      <c r="A161" s="82"/>
      <c r="B161" s="82"/>
      <c r="C161" s="83"/>
      <c r="D161" s="84"/>
      <c r="E161" s="85"/>
      <c r="F161" s="85"/>
      <c r="G161" s="85"/>
      <c r="H161" s="85"/>
      <c r="I161" s="85"/>
      <c r="J161" s="85"/>
      <c r="K161" s="85"/>
      <c r="L161" s="85"/>
      <c r="M161" s="85"/>
    </row>
    <row r="162" spans="1:13">
      <c r="A162" s="82"/>
      <c r="B162" s="82"/>
      <c r="C162" s="83"/>
      <c r="D162" s="84"/>
      <c r="E162" s="85"/>
      <c r="F162" s="85"/>
      <c r="G162" s="85"/>
      <c r="H162" s="85"/>
      <c r="I162" s="85"/>
      <c r="J162" s="85"/>
      <c r="K162" s="85"/>
      <c r="L162" s="85"/>
      <c r="M162" s="85"/>
    </row>
    <row r="163" spans="1:13">
      <c r="A163" s="82"/>
      <c r="B163" s="82"/>
      <c r="C163" s="83"/>
      <c r="D163" s="84"/>
      <c r="E163" s="85"/>
      <c r="F163" s="85"/>
      <c r="G163" s="85"/>
      <c r="H163" s="85"/>
      <c r="I163" s="85"/>
      <c r="J163" s="85"/>
      <c r="K163" s="85"/>
      <c r="L163" s="85"/>
      <c r="M163" s="85"/>
    </row>
    <row r="164" spans="1:13">
      <c r="A164" s="82"/>
      <c r="B164" s="82"/>
      <c r="C164" s="83"/>
      <c r="D164" s="84"/>
      <c r="E164" s="85"/>
      <c r="F164" s="85"/>
      <c r="G164" s="85"/>
      <c r="H164" s="85"/>
      <c r="I164" s="85"/>
      <c r="J164" s="85"/>
      <c r="K164" s="85"/>
      <c r="L164" s="85"/>
      <c r="M164" s="85"/>
    </row>
    <row r="165" spans="1:13">
      <c r="A165" s="82"/>
      <c r="B165" s="82"/>
      <c r="C165" s="83"/>
      <c r="D165" s="84"/>
      <c r="E165" s="85"/>
      <c r="F165" s="85"/>
      <c r="G165" s="85"/>
      <c r="H165" s="85"/>
      <c r="I165" s="85"/>
      <c r="J165" s="85"/>
      <c r="K165" s="85"/>
      <c r="L165" s="85"/>
      <c r="M165" s="85"/>
    </row>
    <row r="166" spans="1:13">
      <c r="A166" s="82"/>
      <c r="B166" s="82"/>
      <c r="C166" s="83"/>
      <c r="D166" s="84"/>
      <c r="E166" s="85"/>
      <c r="F166" s="85"/>
      <c r="G166" s="85"/>
      <c r="H166" s="85"/>
      <c r="I166" s="85"/>
      <c r="J166" s="85"/>
      <c r="K166" s="85"/>
      <c r="L166" s="85"/>
      <c r="M166" s="85"/>
    </row>
    <row r="167" spans="1:13">
      <c r="A167" s="82"/>
      <c r="B167" s="82"/>
      <c r="C167" s="83"/>
      <c r="D167" s="84"/>
      <c r="E167" s="85"/>
      <c r="F167" s="85"/>
      <c r="G167" s="85"/>
      <c r="H167" s="85"/>
      <c r="I167" s="85"/>
      <c r="J167" s="85"/>
      <c r="K167" s="85"/>
      <c r="L167" s="85"/>
      <c r="M167" s="85"/>
    </row>
    <row r="168" spans="1:13">
      <c r="A168" s="82"/>
      <c r="B168" s="82"/>
      <c r="C168" s="83"/>
      <c r="D168" s="84"/>
      <c r="E168" s="85"/>
      <c r="F168" s="85"/>
      <c r="G168" s="85"/>
      <c r="H168" s="85"/>
      <c r="I168" s="85"/>
      <c r="J168" s="85"/>
      <c r="K168" s="85"/>
      <c r="L168" s="85"/>
      <c r="M168" s="85"/>
    </row>
    <row r="169" spans="1:13">
      <c r="A169" s="82"/>
      <c r="B169" s="82"/>
      <c r="C169" s="83"/>
      <c r="D169" s="84"/>
      <c r="E169" s="85"/>
      <c r="F169" s="85"/>
      <c r="G169" s="85"/>
      <c r="H169" s="85"/>
      <c r="I169" s="85"/>
      <c r="J169" s="85"/>
      <c r="K169" s="85"/>
      <c r="L169" s="85"/>
      <c r="M169" s="85"/>
    </row>
    <row r="170" spans="1:13">
      <c r="A170" s="82"/>
      <c r="B170" s="82"/>
      <c r="C170" s="83"/>
      <c r="D170" s="84"/>
      <c r="E170" s="85"/>
      <c r="F170" s="85"/>
      <c r="G170" s="85"/>
      <c r="H170" s="85"/>
      <c r="I170" s="85"/>
      <c r="J170" s="85"/>
      <c r="K170" s="85"/>
      <c r="L170" s="85"/>
      <c r="M170" s="85"/>
    </row>
    <row r="171" spans="1:13">
      <c r="A171" s="82"/>
      <c r="B171" s="82"/>
      <c r="C171" s="83"/>
      <c r="D171" s="84"/>
      <c r="E171" s="85"/>
      <c r="F171" s="85"/>
      <c r="G171" s="85"/>
      <c r="H171" s="85"/>
      <c r="I171" s="85"/>
      <c r="J171" s="85"/>
      <c r="K171" s="85"/>
      <c r="L171" s="85"/>
      <c r="M171" s="85"/>
    </row>
    <row r="172" spans="1:13">
      <c r="A172" s="82"/>
      <c r="B172" s="82"/>
      <c r="C172" s="83"/>
      <c r="D172" s="84"/>
      <c r="E172" s="85"/>
      <c r="F172" s="85"/>
      <c r="G172" s="85"/>
      <c r="H172" s="85"/>
      <c r="I172" s="85"/>
      <c r="J172" s="85"/>
      <c r="K172" s="85"/>
      <c r="L172" s="85"/>
      <c r="M172" s="85"/>
    </row>
    <row r="173" spans="1:13">
      <c r="A173" s="82"/>
      <c r="B173" s="82"/>
      <c r="C173" s="83"/>
      <c r="D173" s="84"/>
      <c r="E173" s="85"/>
      <c r="F173" s="85"/>
      <c r="G173" s="85"/>
      <c r="H173" s="85"/>
      <c r="I173" s="85"/>
      <c r="J173" s="85"/>
      <c r="K173" s="85"/>
      <c r="L173" s="85"/>
      <c r="M173" s="85"/>
    </row>
    <row r="174" spans="1:13">
      <c r="A174" s="82"/>
      <c r="B174" s="82"/>
      <c r="C174" s="83"/>
      <c r="D174" s="84"/>
      <c r="E174" s="85"/>
      <c r="F174" s="85"/>
      <c r="G174" s="85"/>
      <c r="H174" s="85"/>
      <c r="I174" s="85"/>
      <c r="J174" s="85"/>
      <c r="K174" s="85"/>
      <c r="L174" s="85"/>
      <c r="M174" s="85"/>
    </row>
    <row r="175" spans="1:13">
      <c r="A175" s="82"/>
      <c r="B175" s="82"/>
      <c r="C175" s="83"/>
      <c r="D175" s="84"/>
      <c r="E175" s="85"/>
      <c r="F175" s="85"/>
      <c r="G175" s="85"/>
      <c r="H175" s="85"/>
      <c r="I175" s="85"/>
      <c r="J175" s="85"/>
      <c r="K175" s="85"/>
      <c r="L175" s="85"/>
      <c r="M175" s="85"/>
    </row>
    <row r="176" spans="1:13">
      <c r="A176" s="82"/>
      <c r="B176" s="82"/>
      <c r="C176" s="83"/>
      <c r="D176" s="84"/>
      <c r="E176" s="85"/>
      <c r="F176" s="85"/>
      <c r="G176" s="85"/>
      <c r="H176" s="85"/>
      <c r="I176" s="85"/>
      <c r="J176" s="85"/>
      <c r="K176" s="85"/>
      <c r="L176" s="85"/>
      <c r="M176" s="85"/>
    </row>
    <row r="177" spans="1:13">
      <c r="A177" s="82"/>
      <c r="B177" s="82"/>
      <c r="C177" s="83"/>
      <c r="D177" s="84"/>
      <c r="E177" s="85"/>
      <c r="F177" s="85"/>
      <c r="G177" s="85"/>
      <c r="H177" s="85"/>
      <c r="I177" s="85"/>
      <c r="J177" s="85"/>
      <c r="K177" s="85"/>
      <c r="L177" s="85"/>
      <c r="M177" s="85"/>
    </row>
    <row r="178" spans="1:13">
      <c r="A178" s="82"/>
      <c r="B178" s="82"/>
      <c r="C178" s="83"/>
      <c r="D178" s="84"/>
      <c r="E178" s="85"/>
      <c r="F178" s="85"/>
      <c r="G178" s="85"/>
      <c r="H178" s="85"/>
      <c r="I178" s="85"/>
      <c r="J178" s="85"/>
      <c r="K178" s="85"/>
      <c r="L178" s="85"/>
      <c r="M178" s="85"/>
    </row>
    <row r="179" spans="1:13">
      <c r="A179" s="82"/>
      <c r="B179" s="82"/>
      <c r="C179" s="83"/>
      <c r="D179" s="84"/>
      <c r="E179" s="85"/>
      <c r="F179" s="85"/>
      <c r="G179" s="85"/>
      <c r="H179" s="85"/>
      <c r="I179" s="85"/>
      <c r="J179" s="85"/>
      <c r="K179" s="85"/>
      <c r="L179" s="85"/>
      <c r="M179" s="85"/>
    </row>
    <row r="180" spans="1:13">
      <c r="A180" s="82"/>
      <c r="B180" s="82"/>
      <c r="C180" s="83"/>
      <c r="D180" s="84"/>
      <c r="E180" s="85"/>
      <c r="F180" s="85"/>
      <c r="G180" s="85"/>
      <c r="H180" s="85"/>
      <c r="I180" s="85"/>
      <c r="J180" s="85"/>
      <c r="K180" s="85"/>
      <c r="L180" s="85"/>
      <c r="M180" s="85"/>
    </row>
    <row r="181" spans="1:13">
      <c r="A181" s="82"/>
      <c r="B181" s="82"/>
      <c r="C181" s="83"/>
      <c r="D181" s="84"/>
      <c r="E181" s="85"/>
      <c r="F181" s="85"/>
      <c r="G181" s="85"/>
      <c r="H181" s="85"/>
      <c r="I181" s="85"/>
      <c r="J181" s="85"/>
      <c r="K181" s="85"/>
      <c r="L181" s="85"/>
      <c r="M181" s="85"/>
    </row>
    <row r="182" spans="1:13">
      <c r="A182" s="82"/>
      <c r="B182" s="82"/>
      <c r="C182" s="83"/>
      <c r="D182" s="84"/>
      <c r="E182" s="85"/>
      <c r="F182" s="85"/>
      <c r="G182" s="85"/>
      <c r="H182" s="85"/>
      <c r="I182" s="85"/>
      <c r="J182" s="85"/>
      <c r="K182" s="85"/>
      <c r="L182" s="85"/>
      <c r="M182" s="85"/>
    </row>
    <row r="183" spans="1:13">
      <c r="A183" s="82"/>
      <c r="B183" s="82"/>
      <c r="C183" s="83"/>
      <c r="D183" s="84"/>
      <c r="E183" s="85"/>
      <c r="F183" s="85"/>
      <c r="G183" s="85"/>
      <c r="H183" s="85"/>
      <c r="I183" s="85"/>
      <c r="J183" s="85"/>
      <c r="K183" s="85"/>
      <c r="L183" s="85"/>
      <c r="M183" s="85"/>
    </row>
    <row r="184" spans="1:13">
      <c r="A184" s="82"/>
      <c r="B184" s="82"/>
      <c r="C184" s="83"/>
      <c r="D184" s="84"/>
      <c r="E184" s="85"/>
      <c r="F184" s="85"/>
      <c r="G184" s="85"/>
      <c r="H184" s="85"/>
      <c r="I184" s="85"/>
      <c r="J184" s="85"/>
      <c r="K184" s="85"/>
      <c r="L184" s="85"/>
      <c r="M184" s="85"/>
    </row>
    <row r="185" spans="1:13">
      <c r="A185" s="82"/>
      <c r="B185" s="82"/>
      <c r="C185" s="83"/>
      <c r="D185" s="84"/>
      <c r="E185" s="85"/>
      <c r="F185" s="85"/>
      <c r="G185" s="85"/>
      <c r="H185" s="85"/>
      <c r="I185" s="85"/>
      <c r="J185" s="85"/>
      <c r="K185" s="85"/>
      <c r="L185" s="85"/>
      <c r="M185" s="85"/>
    </row>
    <row r="186" spans="1:13">
      <c r="A186" s="82"/>
      <c r="B186" s="82"/>
      <c r="C186" s="83"/>
      <c r="D186" s="84"/>
      <c r="E186" s="85"/>
      <c r="F186" s="85"/>
      <c r="G186" s="85"/>
      <c r="H186" s="85"/>
      <c r="I186" s="85"/>
      <c r="J186" s="85"/>
      <c r="K186" s="85"/>
      <c r="L186" s="85"/>
      <c r="M186" s="85"/>
    </row>
    <row r="187" spans="1:13">
      <c r="A187" s="82"/>
      <c r="B187" s="82"/>
      <c r="C187" s="83"/>
      <c r="D187" s="84"/>
      <c r="E187" s="85"/>
      <c r="F187" s="85"/>
      <c r="G187" s="85"/>
      <c r="H187" s="85"/>
      <c r="I187" s="85"/>
      <c r="J187" s="85"/>
      <c r="K187" s="85"/>
      <c r="L187" s="85"/>
      <c r="M187" s="85"/>
    </row>
    <row r="188" spans="1:13">
      <c r="A188" s="82"/>
      <c r="B188" s="82"/>
      <c r="C188" s="83"/>
      <c r="D188" s="84"/>
      <c r="E188" s="85"/>
      <c r="F188" s="85"/>
      <c r="G188" s="85"/>
      <c r="H188" s="85"/>
      <c r="I188" s="85"/>
      <c r="J188" s="85"/>
      <c r="K188" s="85"/>
      <c r="L188" s="85"/>
      <c r="M188" s="85"/>
    </row>
    <row r="189" spans="1:13">
      <c r="A189" s="82"/>
      <c r="B189" s="82"/>
      <c r="C189" s="83"/>
      <c r="D189" s="84"/>
      <c r="E189" s="85"/>
      <c r="F189" s="85"/>
      <c r="G189" s="85"/>
      <c r="H189" s="85"/>
      <c r="I189" s="85"/>
      <c r="J189" s="85"/>
      <c r="K189" s="85"/>
      <c r="L189" s="85"/>
      <c r="M189" s="85"/>
    </row>
    <row r="190" spans="1:13">
      <c r="A190" s="82"/>
      <c r="B190" s="82"/>
      <c r="C190" s="83"/>
      <c r="D190" s="84"/>
      <c r="E190" s="85"/>
      <c r="F190" s="85"/>
      <c r="G190" s="85"/>
      <c r="H190" s="85"/>
      <c r="I190" s="85"/>
      <c r="J190" s="85"/>
      <c r="K190" s="85"/>
      <c r="L190" s="85"/>
      <c r="M190" s="85"/>
    </row>
    <row r="191" spans="1:13">
      <c r="A191" s="82"/>
      <c r="B191" s="82"/>
      <c r="C191" s="83"/>
      <c r="D191" s="84"/>
      <c r="E191" s="85"/>
      <c r="F191" s="85"/>
      <c r="G191" s="85"/>
      <c r="H191" s="85"/>
      <c r="I191" s="85"/>
      <c r="J191" s="85"/>
      <c r="K191" s="85"/>
      <c r="L191" s="85"/>
      <c r="M191" s="85"/>
    </row>
    <row r="192" spans="1:13">
      <c r="A192" s="82"/>
      <c r="B192" s="82"/>
      <c r="C192" s="83"/>
      <c r="D192" s="84"/>
      <c r="E192" s="85"/>
      <c r="F192" s="85"/>
      <c r="G192" s="85"/>
      <c r="H192" s="85"/>
      <c r="I192" s="85"/>
      <c r="J192" s="85"/>
      <c r="K192" s="85"/>
      <c r="L192" s="85"/>
      <c r="M192" s="85"/>
    </row>
    <row r="193" spans="1:13">
      <c r="A193" s="82"/>
      <c r="B193" s="82"/>
      <c r="C193" s="83"/>
      <c r="D193" s="84"/>
      <c r="E193" s="85"/>
      <c r="F193" s="85"/>
      <c r="G193" s="85"/>
      <c r="H193" s="85"/>
      <c r="I193" s="85"/>
      <c r="J193" s="85"/>
      <c r="K193" s="85"/>
      <c r="L193" s="85"/>
      <c r="M193" s="85"/>
    </row>
    <row r="194" spans="1:13">
      <c r="A194" s="82"/>
      <c r="B194" s="82"/>
      <c r="C194" s="83"/>
      <c r="D194" s="84"/>
      <c r="E194" s="85"/>
      <c r="F194" s="85"/>
      <c r="G194" s="85"/>
      <c r="H194" s="85"/>
      <c r="I194" s="85"/>
      <c r="J194" s="85"/>
      <c r="K194" s="85"/>
      <c r="L194" s="85"/>
      <c r="M194" s="85"/>
    </row>
    <row r="195" spans="1:13">
      <c r="A195" s="82"/>
      <c r="B195" s="82"/>
      <c r="C195" s="83"/>
      <c r="D195" s="84"/>
      <c r="E195" s="85"/>
      <c r="F195" s="85"/>
      <c r="G195" s="85"/>
      <c r="H195" s="85"/>
      <c r="I195" s="85"/>
      <c r="J195" s="85"/>
      <c r="K195" s="85"/>
      <c r="L195" s="85"/>
      <c r="M195" s="85"/>
    </row>
    <row r="196" spans="1:13">
      <c r="A196" s="82"/>
      <c r="B196" s="82"/>
      <c r="C196" s="83"/>
      <c r="D196" s="84"/>
      <c r="E196" s="85"/>
      <c r="F196" s="85"/>
      <c r="G196" s="85"/>
      <c r="H196" s="85"/>
      <c r="I196" s="85"/>
      <c r="J196" s="85"/>
      <c r="K196" s="85"/>
      <c r="L196" s="85"/>
      <c r="M196" s="85"/>
    </row>
    <row r="197" spans="1:13">
      <c r="A197" s="82"/>
      <c r="B197" s="82"/>
      <c r="C197" s="83"/>
      <c r="D197" s="84"/>
      <c r="E197" s="85"/>
      <c r="F197" s="85"/>
      <c r="G197" s="85"/>
      <c r="H197" s="85"/>
      <c r="I197" s="85"/>
      <c r="J197" s="85"/>
      <c r="K197" s="85"/>
      <c r="L197" s="85"/>
      <c r="M197" s="85"/>
    </row>
    <row r="198" spans="1:13">
      <c r="A198" s="82"/>
      <c r="B198" s="82"/>
      <c r="C198" s="83"/>
      <c r="D198" s="84"/>
      <c r="E198" s="85"/>
      <c r="F198" s="85"/>
      <c r="G198" s="85"/>
      <c r="H198" s="85"/>
      <c r="I198" s="85"/>
      <c r="J198" s="85"/>
      <c r="K198" s="85"/>
      <c r="L198" s="85"/>
      <c r="M198" s="85"/>
    </row>
    <row r="199" spans="1:13">
      <c r="A199" s="82"/>
      <c r="B199" s="82"/>
      <c r="C199" s="83"/>
      <c r="D199" s="84"/>
      <c r="E199" s="85"/>
      <c r="F199" s="85"/>
      <c r="G199" s="85"/>
      <c r="H199" s="85"/>
      <c r="I199" s="85"/>
      <c r="J199" s="85"/>
      <c r="K199" s="85"/>
      <c r="L199" s="85"/>
      <c r="M199" s="85"/>
    </row>
    <row r="200" spans="1:13">
      <c r="A200" s="82"/>
      <c r="B200" s="82"/>
      <c r="C200" s="83"/>
      <c r="D200" s="84"/>
      <c r="E200" s="85"/>
      <c r="F200" s="85"/>
      <c r="G200" s="85"/>
      <c r="H200" s="85"/>
      <c r="I200" s="85"/>
      <c r="J200" s="85"/>
      <c r="K200" s="85"/>
      <c r="L200" s="85"/>
      <c r="M200" s="85"/>
    </row>
    <row r="201" spans="1:13">
      <c r="A201" s="82"/>
      <c r="B201" s="82"/>
      <c r="C201" s="83"/>
      <c r="D201" s="84"/>
      <c r="E201" s="85"/>
      <c r="F201" s="85"/>
      <c r="G201" s="85"/>
      <c r="H201" s="85"/>
      <c r="I201" s="85"/>
      <c r="J201" s="85"/>
      <c r="K201" s="85"/>
      <c r="L201" s="85"/>
      <c r="M201" s="85"/>
    </row>
    <row r="202" spans="1:13">
      <c r="A202" s="82"/>
      <c r="B202" s="82"/>
      <c r="C202" s="83"/>
      <c r="D202" s="84"/>
      <c r="E202" s="85"/>
      <c r="F202" s="85"/>
      <c r="G202" s="85"/>
      <c r="H202" s="85"/>
      <c r="I202" s="85"/>
      <c r="J202" s="85"/>
      <c r="K202" s="85"/>
      <c r="L202" s="85"/>
      <c r="M202" s="85"/>
    </row>
    <row r="203" spans="1:13">
      <c r="A203" s="82"/>
      <c r="B203" s="82"/>
      <c r="C203" s="83"/>
      <c r="D203" s="84"/>
      <c r="E203" s="85"/>
      <c r="F203" s="85"/>
      <c r="G203" s="85"/>
      <c r="H203" s="85"/>
      <c r="I203" s="85"/>
      <c r="J203" s="85"/>
      <c r="K203" s="85"/>
      <c r="L203" s="85"/>
      <c r="M203" s="85"/>
    </row>
    <row r="204" spans="1:13">
      <c r="A204" s="82"/>
      <c r="B204" s="82"/>
      <c r="C204" s="83"/>
      <c r="D204" s="84"/>
      <c r="E204" s="85"/>
      <c r="F204" s="85"/>
      <c r="G204" s="85"/>
      <c r="H204" s="85"/>
      <c r="I204" s="85"/>
      <c r="J204" s="85"/>
      <c r="K204" s="85"/>
      <c r="L204" s="85"/>
      <c r="M204" s="85"/>
    </row>
    <row r="205" spans="1:13">
      <c r="A205" s="82"/>
      <c r="B205" s="82"/>
      <c r="C205" s="83"/>
      <c r="D205" s="84"/>
      <c r="E205" s="85"/>
      <c r="F205" s="85"/>
      <c r="G205" s="85"/>
      <c r="H205" s="85"/>
      <c r="I205" s="85"/>
      <c r="J205" s="85"/>
      <c r="K205" s="85"/>
      <c r="L205" s="85"/>
      <c r="M205" s="85"/>
    </row>
    <row r="206" spans="1:13">
      <c r="A206" s="82"/>
      <c r="B206" s="82"/>
      <c r="C206" s="83"/>
      <c r="D206" s="84"/>
      <c r="E206" s="85"/>
      <c r="F206" s="85"/>
      <c r="G206" s="85"/>
      <c r="H206" s="85"/>
      <c r="I206" s="85"/>
      <c r="J206" s="85"/>
      <c r="K206" s="85"/>
      <c r="L206" s="85"/>
      <c r="M206" s="85"/>
    </row>
    <row r="207" spans="1:13">
      <c r="A207" s="82"/>
      <c r="B207" s="82"/>
      <c r="C207" s="83"/>
      <c r="D207" s="84"/>
      <c r="E207" s="85"/>
      <c r="F207" s="85"/>
      <c r="G207" s="85"/>
      <c r="H207" s="85"/>
      <c r="I207" s="85"/>
      <c r="J207" s="85"/>
      <c r="K207" s="85"/>
      <c r="L207" s="85"/>
      <c r="M207" s="85"/>
    </row>
    <row r="208" spans="1:13">
      <c r="A208" s="82"/>
      <c r="B208" s="82"/>
      <c r="C208" s="83"/>
      <c r="D208" s="84"/>
      <c r="E208" s="85"/>
      <c r="F208" s="85"/>
      <c r="G208" s="85"/>
      <c r="H208" s="85"/>
      <c r="I208" s="85"/>
      <c r="J208" s="85"/>
      <c r="K208" s="85"/>
      <c r="L208" s="85"/>
      <c r="M208" s="85"/>
    </row>
    <row r="209" spans="1:13">
      <c r="A209" s="82"/>
      <c r="B209" s="82"/>
      <c r="C209" s="83"/>
      <c r="D209" s="84"/>
      <c r="E209" s="85"/>
      <c r="F209" s="85"/>
      <c r="G209" s="85"/>
      <c r="H209" s="85"/>
      <c r="I209" s="85"/>
      <c r="J209" s="85"/>
      <c r="K209" s="85"/>
      <c r="L209" s="85"/>
      <c r="M209" s="85"/>
    </row>
    <row r="210" spans="1:13">
      <c r="A210" s="82"/>
      <c r="B210" s="82"/>
      <c r="C210" s="83"/>
      <c r="D210" s="84"/>
      <c r="E210" s="85"/>
      <c r="F210" s="85"/>
      <c r="G210" s="85"/>
      <c r="H210" s="85"/>
      <c r="I210" s="85"/>
      <c r="J210" s="85"/>
      <c r="K210" s="85"/>
      <c r="L210" s="85"/>
      <c r="M210" s="85"/>
    </row>
    <row r="211" spans="1:13">
      <c r="A211" s="82"/>
      <c r="B211" s="82"/>
      <c r="C211" s="83"/>
      <c r="D211" s="84"/>
      <c r="E211" s="85"/>
      <c r="F211" s="85"/>
      <c r="G211" s="85"/>
      <c r="H211" s="85"/>
      <c r="I211" s="85"/>
      <c r="J211" s="85"/>
      <c r="K211" s="85"/>
      <c r="L211" s="85"/>
      <c r="M211" s="85"/>
    </row>
    <row r="212" spans="1:13">
      <c r="A212" s="82"/>
      <c r="B212" s="82"/>
      <c r="C212" s="83"/>
      <c r="D212" s="84"/>
      <c r="E212" s="85"/>
      <c r="F212" s="85"/>
      <c r="G212" s="85"/>
      <c r="H212" s="85"/>
      <c r="I212" s="85"/>
      <c r="J212" s="85"/>
      <c r="K212" s="85"/>
      <c r="L212" s="85"/>
      <c r="M212" s="85"/>
    </row>
    <row r="213" spans="1:13">
      <c r="A213" s="82"/>
      <c r="B213" s="82"/>
      <c r="C213" s="83"/>
      <c r="D213" s="84"/>
      <c r="E213" s="85"/>
      <c r="F213" s="85"/>
      <c r="G213" s="85"/>
      <c r="H213" s="85"/>
      <c r="I213" s="85"/>
      <c r="J213" s="85"/>
      <c r="K213" s="85"/>
      <c r="L213" s="85"/>
      <c r="M213" s="85"/>
    </row>
    <row r="214" spans="1:13">
      <c r="A214" s="82"/>
      <c r="B214" s="82"/>
      <c r="C214" s="83"/>
      <c r="D214" s="84"/>
      <c r="E214" s="85"/>
      <c r="F214" s="85"/>
      <c r="G214" s="85"/>
      <c r="H214" s="85"/>
      <c r="I214" s="85"/>
      <c r="J214" s="85"/>
      <c r="K214" s="85"/>
      <c r="L214" s="85"/>
      <c r="M214" s="85"/>
    </row>
    <row r="215" spans="1:13">
      <c r="A215" s="82"/>
      <c r="B215" s="82"/>
      <c r="C215" s="83"/>
      <c r="D215" s="84"/>
      <c r="E215" s="85"/>
      <c r="F215" s="85"/>
      <c r="G215" s="85"/>
      <c r="H215" s="85"/>
      <c r="I215" s="85"/>
      <c r="J215" s="85"/>
      <c r="K215" s="85"/>
      <c r="L215" s="85"/>
      <c r="M215" s="85"/>
    </row>
    <row r="216" spans="1:13">
      <c r="A216" s="82"/>
      <c r="B216" s="82"/>
      <c r="C216" s="83"/>
      <c r="D216" s="84"/>
      <c r="E216" s="85"/>
      <c r="F216" s="85"/>
      <c r="G216" s="85"/>
      <c r="H216" s="85"/>
      <c r="I216" s="85"/>
      <c r="J216" s="85"/>
      <c r="K216" s="85"/>
      <c r="L216" s="85"/>
      <c r="M216" s="85"/>
    </row>
    <row r="217" spans="1:13">
      <c r="A217" s="82"/>
      <c r="B217" s="82"/>
      <c r="C217" s="83"/>
      <c r="D217" s="84"/>
      <c r="E217" s="85"/>
      <c r="F217" s="85"/>
      <c r="G217" s="85"/>
      <c r="H217" s="85"/>
      <c r="I217" s="85"/>
      <c r="J217" s="85"/>
      <c r="K217" s="85"/>
      <c r="L217" s="85"/>
      <c r="M217" s="85"/>
    </row>
    <row r="218" spans="1:13">
      <c r="A218" s="82"/>
      <c r="B218" s="82"/>
      <c r="C218" s="83"/>
      <c r="D218" s="84"/>
      <c r="E218" s="85"/>
      <c r="F218" s="85"/>
      <c r="G218" s="85"/>
      <c r="H218" s="85"/>
      <c r="I218" s="85"/>
      <c r="J218" s="85"/>
      <c r="K218" s="85"/>
      <c r="L218" s="85"/>
      <c r="M218" s="85"/>
    </row>
    <row r="219" spans="1:13">
      <c r="A219" s="82"/>
      <c r="B219" s="82"/>
      <c r="C219" s="83"/>
      <c r="D219" s="84"/>
      <c r="E219" s="85"/>
      <c r="F219" s="85"/>
      <c r="G219" s="85"/>
      <c r="H219" s="85"/>
      <c r="I219" s="85"/>
      <c r="J219" s="85"/>
      <c r="K219" s="85"/>
      <c r="L219" s="85"/>
      <c r="M219" s="85"/>
    </row>
    <row r="220" spans="1:13">
      <c r="A220" s="82"/>
      <c r="B220" s="82"/>
      <c r="C220" s="83"/>
      <c r="D220" s="84"/>
      <c r="E220" s="85"/>
      <c r="F220" s="85"/>
      <c r="G220" s="85"/>
      <c r="H220" s="85"/>
      <c r="I220" s="85"/>
      <c r="J220" s="85"/>
      <c r="K220" s="85"/>
      <c r="L220" s="85"/>
      <c r="M220" s="85"/>
    </row>
    <row r="221" spans="1:13">
      <c r="A221" s="82"/>
      <c r="B221" s="82"/>
      <c r="C221" s="83"/>
      <c r="D221" s="84"/>
      <c r="E221" s="85"/>
      <c r="F221" s="85"/>
      <c r="G221" s="85"/>
      <c r="H221" s="85"/>
      <c r="I221" s="85"/>
      <c r="J221" s="85"/>
      <c r="K221" s="85"/>
      <c r="L221" s="85"/>
      <c r="M221" s="85"/>
    </row>
    <row r="222" spans="1:13">
      <c r="A222" s="82"/>
      <c r="B222" s="82"/>
      <c r="C222" s="83"/>
      <c r="D222" s="84"/>
      <c r="E222" s="85"/>
      <c r="F222" s="85"/>
      <c r="G222" s="85"/>
      <c r="H222" s="85"/>
      <c r="I222" s="85"/>
      <c r="J222" s="85"/>
      <c r="K222" s="85"/>
      <c r="L222" s="85"/>
      <c r="M222" s="85"/>
    </row>
    <row r="223" spans="1:13">
      <c r="A223" s="82"/>
      <c r="B223" s="82"/>
      <c r="C223" s="83"/>
      <c r="D223" s="84"/>
      <c r="E223" s="85"/>
      <c r="F223" s="85"/>
      <c r="G223" s="85"/>
      <c r="H223" s="85"/>
      <c r="I223" s="85"/>
      <c r="J223" s="85"/>
      <c r="K223" s="85"/>
      <c r="L223" s="85"/>
      <c r="M223" s="85"/>
    </row>
    <row r="224" spans="1:13">
      <c r="A224" s="82"/>
      <c r="B224" s="82"/>
      <c r="C224" s="83"/>
      <c r="D224" s="84"/>
      <c r="E224" s="85"/>
      <c r="F224" s="85"/>
      <c r="G224" s="85"/>
      <c r="H224" s="85"/>
      <c r="I224" s="85"/>
      <c r="J224" s="85"/>
      <c r="K224" s="85"/>
      <c r="L224" s="85"/>
      <c r="M224" s="85"/>
    </row>
    <row r="225" spans="1:13">
      <c r="A225" s="82"/>
      <c r="B225" s="82"/>
      <c r="C225" s="83"/>
      <c r="D225" s="84"/>
      <c r="E225" s="85"/>
      <c r="F225" s="85"/>
      <c r="G225" s="85"/>
      <c r="H225" s="85"/>
      <c r="I225" s="85"/>
      <c r="J225" s="85"/>
      <c r="K225" s="85"/>
      <c r="L225" s="85"/>
      <c r="M225" s="85"/>
    </row>
    <row r="226" spans="1:13">
      <c r="A226" s="82"/>
      <c r="B226" s="82"/>
      <c r="C226" s="83"/>
      <c r="D226" s="84"/>
      <c r="E226" s="85"/>
      <c r="F226" s="85"/>
      <c r="G226" s="85"/>
      <c r="H226" s="85"/>
      <c r="I226" s="85"/>
      <c r="J226" s="85"/>
      <c r="K226" s="85"/>
      <c r="L226" s="85"/>
      <c r="M226" s="85"/>
    </row>
    <row r="227" spans="1:13">
      <c r="A227" s="82"/>
      <c r="B227" s="82"/>
      <c r="C227" s="83"/>
      <c r="D227" s="84"/>
      <c r="E227" s="85"/>
      <c r="F227" s="85"/>
      <c r="G227" s="85"/>
      <c r="H227" s="85"/>
      <c r="I227" s="85"/>
      <c r="J227" s="85"/>
      <c r="K227" s="85"/>
      <c r="L227" s="85"/>
      <c r="M227" s="85"/>
    </row>
    <row r="228" spans="1:13">
      <c r="A228" s="82"/>
      <c r="B228" s="82"/>
      <c r="C228" s="83"/>
      <c r="D228" s="84"/>
      <c r="E228" s="85"/>
      <c r="F228" s="85"/>
      <c r="G228" s="85"/>
      <c r="H228" s="85"/>
      <c r="I228" s="85"/>
      <c r="J228" s="85"/>
      <c r="K228" s="85"/>
      <c r="L228" s="85"/>
      <c r="M228" s="85"/>
    </row>
    <row r="229" spans="1:13">
      <c r="A229" s="82"/>
      <c r="B229" s="82"/>
      <c r="C229" s="83"/>
      <c r="D229" s="84"/>
      <c r="E229" s="85"/>
      <c r="F229" s="85"/>
      <c r="G229" s="85"/>
      <c r="H229" s="85"/>
      <c r="I229" s="85"/>
      <c r="J229" s="85"/>
      <c r="K229" s="85"/>
      <c r="L229" s="85"/>
      <c r="M229" s="85"/>
    </row>
    <row r="230" spans="1:13">
      <c r="A230" s="82"/>
      <c r="B230" s="82"/>
      <c r="C230" s="83"/>
      <c r="D230" s="84"/>
      <c r="E230" s="85"/>
      <c r="F230" s="85"/>
      <c r="G230" s="85"/>
      <c r="H230" s="85"/>
      <c r="I230" s="85"/>
      <c r="J230" s="85"/>
      <c r="K230" s="85"/>
      <c r="L230" s="85"/>
      <c r="M230" s="85"/>
    </row>
    <row r="231" spans="1:13">
      <c r="B231" s="82"/>
    </row>
    <row r="232" spans="1:13">
      <c r="B232" s="82"/>
    </row>
    <row r="233" spans="1:13">
      <c r="B233" s="82"/>
    </row>
    <row r="234" spans="1:13">
      <c r="B234" s="82"/>
    </row>
  </sheetData>
  <autoFilter ref="A5:P134"/>
  <mergeCells count="14">
    <mergeCell ref="J4:J5"/>
    <mergeCell ref="K4:K5"/>
    <mergeCell ref="L4:L5"/>
    <mergeCell ref="M4:M5"/>
    <mergeCell ref="A2:M2"/>
    <mergeCell ref="A4:A5"/>
    <mergeCell ref="B4:B5"/>
    <mergeCell ref="C4:C5"/>
    <mergeCell ref="D4:D5"/>
    <mergeCell ref="E4:E5"/>
    <mergeCell ref="I4:I5"/>
    <mergeCell ref="F4:F5"/>
    <mergeCell ref="G4:G5"/>
    <mergeCell ref="H4:H5"/>
  </mergeCells>
  <pageMargins left="0.15748031496062992" right="0.15748031496062992" top="0.78740157480314965" bottom="0.35433070866141736" header="0.19685039370078741" footer="0.15748031496062992"/>
  <pageSetup paperSize="9" scale="85" orientation="landscape" r:id="rId1"/>
  <headerFooter>
    <oddHeader>&amp;LROMÂNIA
JUDEŢUL MUREŞ
CONSILIUL JUDEŢEAN&amp;RAnexa nr. 12/a la HCJM nr.                     /2026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Proiecte FEN + FN </vt:lpstr>
      <vt:lpstr>Multianual 2026</vt:lpstr>
      <vt:lpstr>'Multianual 2026'!Imprimare_titluri</vt:lpstr>
      <vt:lpstr>'Proiecte FEN + FN '!Imprimare_titluri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2026-07-29T06:53:15Z</dcterms:modified>
</cp:coreProperties>
</file>